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331" sheetId="12" r:id="rId7"/>
    <sheet name="331-CT" sheetId="14" r:id="rId8"/>
    <sheet name="IN - TC" sheetId="39" r:id="rId9"/>
    <sheet name="1111" sheetId="42" r:id="rId10"/>
    <sheet name="1121" sheetId="43" r:id="rId11"/>
    <sheet name="1331" sheetId="44" r:id="rId12"/>
    <sheet name="3411" sheetId="45" r:id="rId13"/>
    <sheet name="3411-CT" sheetId="46" r:id="rId14"/>
    <sheet name="CTTK" sheetId="47" r:id="rId15"/>
  </sheets>
  <externalReferences>
    <externalReference r:id="rId16"/>
  </externalReferences>
  <definedNames>
    <definedName name="_C111">TH!$P$11:$P$362</definedName>
    <definedName name="_C112">TH!$S$11:$S$362</definedName>
    <definedName name="_C133">TH!$V$11:$V$362</definedName>
    <definedName name="_Fill" localSheetId="10" hidden="1">#REF!</definedName>
    <definedName name="_Fill" localSheetId="14" hidden="1">#REF!</definedName>
    <definedName name="_Fill" hidden="1">#REF!</definedName>
    <definedName name="_xlnm._FilterDatabase" localSheetId="2" hidden="1">'01-03'!$A$9:$AW$62</definedName>
    <definedName name="_xlnm._FilterDatabase" localSheetId="3" hidden="1">'04-06'!$A$9:$AW$48</definedName>
    <definedName name="_xlnm._FilterDatabase" localSheetId="4" hidden="1">'07-09'!$A$9:$AW$90</definedName>
    <definedName name="_xlnm._FilterDatabase" localSheetId="5" hidden="1">'10-12'!$A$9:$AW$83</definedName>
    <definedName name="_xlnm._FilterDatabase" localSheetId="9" hidden="1">'1111'!$A$11:$J$24</definedName>
    <definedName name="_xlnm._FilterDatabase" localSheetId="10" hidden="1">'1121'!$A$10:$L$74</definedName>
    <definedName name="_xlnm._FilterDatabase" localSheetId="7" hidden="1">'331-CT'!$A$12:$J$32</definedName>
    <definedName name="_xlnm._FilterDatabase" localSheetId="14" hidden="1">CTTK!$A$13:$J$15</definedName>
    <definedName name="_xlnm._FilterDatabase" localSheetId="1" hidden="1">TH!$A$9:$Q$236</definedName>
    <definedName name="_N111">TH!$O$11:$O$362</definedName>
    <definedName name="_N112">TH!$R$11:$R$362</definedName>
    <definedName name="_N133">TH!$U$11:$U$362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SKH">'331'!$B$4:$B$34</definedName>
    <definedName name="DSKU">'3411'!$B$4:$B$9</definedName>
    <definedName name="DSTK">CDPS!$A$10:$D$40</definedName>
    <definedName name="KH">TH!$I$11:$I$362</definedName>
    <definedName name="KHC">TH!$L$11:$L$362</definedName>
    <definedName name="KHN">TH!$K$11:$K$362</definedName>
    <definedName name="Loai">OFFSET(TH!$M$5,,,COUNTA(TH!$M$5:$M$38672))</definedName>
    <definedName name="Loai1">OFFSET(TH!$N$5,,,COUNTA(TH!$N$5:$N$38672))</definedName>
    <definedName name="Loai2">OFFSET(TH!$Q$5,,,COUNTA(TH!$Q$5:$Q$38672))</definedName>
    <definedName name="Loai3">OFFSET(TH!$T$5,,,COUNTA(TH!$T$5:$T$38672))</definedName>
    <definedName name="Loai4">OFFSET(TH!$W$5,,,COUNTA(TH!$W$5:$W$38672))</definedName>
    <definedName name="Loai5">OFFSET(TH!$X$5,,,COUNTA(TH!$X$5:$X$38672))</definedName>
    <definedName name="_xlnm.Print_Area" localSheetId="5">'10-12'!$A$6:$AW$88</definedName>
    <definedName name="_xlnm.Print_Area" localSheetId="9">'1111'!$A$1:$J$34</definedName>
    <definedName name="_xlnm.Print_Area" localSheetId="10">'1121'!$A$8:$J$34</definedName>
    <definedName name="_xlnm.Print_Area" localSheetId="12">'3411'!$A$1:$J$8</definedName>
    <definedName name="_xlnm.Print_Area" localSheetId="8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9">'1111'!$9:$11</definedName>
    <definedName name="TH">TH!$J$11:$J$362</definedName>
    <definedName name="THN">TH!$B$11:$B$413</definedName>
    <definedName name="TM">TH!$A$11:$L$362</definedName>
  </definedNames>
  <calcPr calcId="124519"/>
</workbook>
</file>

<file path=xl/calcChain.xml><?xml version="1.0" encoding="utf-8"?>
<calcChain xmlns="http://schemas.openxmlformats.org/spreadsheetml/2006/main">
  <c r="G9" i="46"/>
  <c r="AV95" i="50"/>
  <c r="AV53" i="49"/>
  <c r="AV67" i="48"/>
  <c r="I28" i="42"/>
  <c r="C11" i="15" l="1"/>
  <c r="A12" i="48" a="1"/>
  <c r="A12" s="1"/>
  <c r="I12" s="1"/>
  <c r="A13" a="1"/>
  <c r="A13" s="1"/>
  <c r="I13" s="1"/>
  <c r="A14" a="1"/>
  <c r="A14" s="1"/>
  <c r="I14" s="1"/>
  <c r="A15" a="1"/>
  <c r="A15" s="1"/>
  <c r="I15" s="1"/>
  <c r="A16" a="1"/>
  <c r="A16" s="1"/>
  <c r="I16" s="1"/>
  <c r="A17" a="1"/>
  <c r="A17" s="1"/>
  <c r="I17" s="1"/>
  <c r="A18" a="1"/>
  <c r="A18" s="1"/>
  <c r="I18" s="1"/>
  <c r="A19" a="1"/>
  <c r="A19" s="1"/>
  <c r="I19" s="1"/>
  <c r="A20" a="1"/>
  <c r="A20" s="1"/>
  <c r="I20" s="1"/>
  <c r="A21" a="1"/>
  <c r="A21" s="1"/>
  <c r="I21" s="1"/>
  <c r="A22" a="1"/>
  <c r="A22" s="1"/>
  <c r="I22" s="1"/>
  <c r="A23" a="1"/>
  <c r="A23" s="1"/>
  <c r="I23" s="1"/>
  <c r="A24" a="1"/>
  <c r="A24" s="1"/>
  <c r="I24" s="1"/>
  <c r="A25" a="1"/>
  <c r="A25" s="1"/>
  <c r="I25" s="1"/>
  <c r="A26" a="1"/>
  <c r="A26" s="1"/>
  <c r="I26" s="1"/>
  <c r="A27" a="1"/>
  <c r="A27" s="1"/>
  <c r="I27" s="1"/>
  <c r="A28" a="1"/>
  <c r="A28" s="1"/>
  <c r="I28" s="1"/>
  <c r="A29" a="1"/>
  <c r="A29" s="1"/>
  <c r="I29" s="1"/>
  <c r="A30" a="1"/>
  <c r="A30" s="1"/>
  <c r="I30" s="1"/>
  <c r="A31" a="1"/>
  <c r="A31" s="1"/>
  <c r="I31" s="1"/>
  <c r="A32" a="1"/>
  <c r="A32" s="1"/>
  <c r="I32" s="1"/>
  <c r="A33" a="1"/>
  <c r="A33" s="1"/>
  <c r="I33" s="1"/>
  <c r="A34" a="1"/>
  <c r="A34" s="1"/>
  <c r="I34" s="1"/>
  <c r="A35" a="1"/>
  <c r="A35" s="1"/>
  <c r="I35" s="1"/>
  <c r="A36" a="1"/>
  <c r="A36" s="1"/>
  <c r="I36" s="1"/>
  <c r="A37" a="1"/>
  <c r="A37" s="1"/>
  <c r="I37" s="1"/>
  <c r="A38" a="1"/>
  <c r="A38" s="1"/>
  <c r="I38" s="1"/>
  <c r="A39" a="1"/>
  <c r="A39" s="1"/>
  <c r="I39" s="1"/>
  <c r="A40" a="1"/>
  <c r="A40" s="1"/>
  <c r="I40" s="1"/>
  <c r="A41" a="1"/>
  <c r="A41" s="1"/>
  <c r="I41" s="1"/>
  <c r="A42" a="1"/>
  <c r="A42" s="1"/>
  <c r="I42" s="1"/>
  <c r="A43" a="1"/>
  <c r="A43" s="1"/>
  <c r="I43" s="1"/>
  <c r="A44" a="1"/>
  <c r="A44" s="1"/>
  <c r="I44" s="1"/>
  <c r="A45" a="1"/>
  <c r="A45" s="1"/>
  <c r="I45" s="1"/>
  <c r="A46" a="1"/>
  <c r="A46" s="1"/>
  <c r="I46" s="1"/>
  <c r="A47" a="1"/>
  <c r="A47" s="1"/>
  <c r="I47" s="1"/>
  <c r="A48" a="1"/>
  <c r="A48" s="1"/>
  <c r="I48" s="1"/>
  <c r="A49" a="1"/>
  <c r="A49" s="1"/>
  <c r="I49" s="1"/>
  <c r="A50" a="1"/>
  <c r="A50" s="1"/>
  <c r="I50" s="1"/>
  <c r="A51" a="1"/>
  <c r="A51" s="1"/>
  <c r="I51" s="1"/>
  <c r="A52" a="1"/>
  <c r="A52" s="1"/>
  <c r="I52" s="1"/>
  <c r="A53" a="1"/>
  <c r="A53" s="1"/>
  <c r="I53" s="1"/>
  <c r="A54" a="1"/>
  <c r="A54" s="1"/>
  <c r="I54" s="1"/>
  <c r="A55" a="1"/>
  <c r="A55" s="1"/>
  <c r="I55" s="1"/>
  <c r="A56" a="1"/>
  <c r="A56" s="1"/>
  <c r="I56" s="1"/>
  <c r="A57" a="1"/>
  <c r="A57" s="1"/>
  <c r="I57" s="1"/>
  <c r="A58" a="1"/>
  <c r="A58" s="1"/>
  <c r="I58" s="1"/>
  <c r="A59" a="1"/>
  <c r="A59" s="1"/>
  <c r="I59" s="1"/>
  <c r="A60" a="1"/>
  <c r="A60" s="1"/>
  <c r="J16" i="34"/>
  <c r="W16"/>
  <c r="M16"/>
  <c r="C16"/>
  <c r="B16"/>
  <c r="A16" s="1"/>
  <c r="AK10" i="48"/>
  <c r="AJ10"/>
  <c r="AI10"/>
  <c r="AH10"/>
  <c r="F51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80" i="51"/>
  <c r="AV80"/>
  <c r="AU80"/>
  <c r="AT80"/>
  <c r="AS80"/>
  <c r="AR80"/>
  <c r="AQ80"/>
  <c r="AP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A80" a="1"/>
  <c r="A80" s="1"/>
  <c r="I80" s="1"/>
  <c r="AW79"/>
  <c r="AU79"/>
  <c r="AT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D79"/>
  <c r="A79" a="1"/>
  <c r="A79" s="1"/>
  <c r="I79" s="1"/>
  <c r="AV78"/>
  <c r="AU78"/>
  <c r="AT78"/>
  <c r="AS78"/>
  <c r="AR78"/>
  <c r="AQ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D78"/>
  <c r="A78"/>
  <c r="I78" s="1"/>
  <c r="A78" a="1"/>
  <c r="AV77"/>
  <c r="AU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D77"/>
  <c r="A77" a="1"/>
  <c r="A77" s="1"/>
  <c r="I77" s="1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D76"/>
  <c r="A76" a="1"/>
  <c r="A76" s="1"/>
  <c r="I76" s="1"/>
  <c r="AW75"/>
  <c r="AV75"/>
  <c r="AU75"/>
  <c r="AT75"/>
  <c r="AS75"/>
  <c r="AR75"/>
  <c r="AQ75"/>
  <c r="AP75"/>
  <c r="AO75"/>
  <c r="AN75"/>
  <c r="AM75"/>
  <c r="AL75"/>
  <c r="AK75"/>
  <c r="AJ75"/>
  <c r="AH75"/>
  <c r="AG75"/>
  <c r="AF75"/>
  <c r="AE75"/>
  <c r="AD75"/>
  <c r="AC75"/>
  <c r="AB75"/>
  <c r="AA75"/>
  <c r="Z75"/>
  <c r="Y75"/>
  <c r="X75"/>
  <c r="W75"/>
  <c r="V75"/>
  <c r="U75"/>
  <c r="T75"/>
  <c r="S75"/>
  <c r="Q75"/>
  <c r="P75"/>
  <c r="O75"/>
  <c r="N75"/>
  <c r="M75"/>
  <c r="L75"/>
  <c r="K75"/>
  <c r="J75"/>
  <c r="F75"/>
  <c r="AI75" s="1"/>
  <c r="D75"/>
  <c r="A75" a="1"/>
  <c r="A75" s="1"/>
  <c r="I75" s="1"/>
  <c r="AW74"/>
  <c r="AU74"/>
  <c r="AT74"/>
  <c r="AS74"/>
  <c r="AR74"/>
  <c r="AQ74"/>
  <c r="AP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D74"/>
  <c r="A74" a="1"/>
  <c r="A74" s="1"/>
  <c r="I74" s="1"/>
  <c r="AW73"/>
  <c r="AU73"/>
  <c r="AT73"/>
  <c r="AS73"/>
  <c r="AR73"/>
  <c r="AQ73"/>
  <c r="AP73"/>
  <c r="AO73"/>
  <c r="AN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D73"/>
  <c r="A73" a="1"/>
  <c r="A73" s="1"/>
  <c r="I73" s="1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A72" a="1"/>
  <c r="A72" s="1"/>
  <c r="I72" s="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A71" a="1"/>
  <c r="A71" s="1"/>
  <c r="I71" s="1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A70" a="1"/>
  <c r="A70" s="1"/>
  <c r="I70" s="1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A69" a="1"/>
  <c r="A69" s="1"/>
  <c r="I69" s="1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A68" a="1"/>
  <c r="A68" s="1"/>
  <c r="I68" s="1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A67" a="1"/>
  <c r="A67" s="1"/>
  <c r="I67" s="1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66" a="1"/>
  <c r="A66" s="1"/>
  <c r="I66" s="1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A65" a="1"/>
  <c r="A65" s="1"/>
  <c r="I65" s="1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A64" a="1"/>
  <c r="A64" s="1"/>
  <c r="I64" s="1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A63" a="1"/>
  <c r="A63" s="1"/>
  <c r="I63" s="1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A62" a="1"/>
  <c r="A62" s="1"/>
  <c r="I62" s="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A61" a="1"/>
  <c r="A61" s="1"/>
  <c r="I61" s="1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A60" a="1"/>
  <c r="A60" s="1"/>
  <c r="I60" s="1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A59" a="1"/>
  <c r="A59" s="1"/>
  <c r="I59" s="1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A58" a="1"/>
  <c r="A58" s="1"/>
  <c r="I58" s="1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A57" a="1"/>
  <c r="A57" s="1"/>
  <c r="I57" s="1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A56" a="1"/>
  <c r="A56" s="1"/>
  <c r="I56" s="1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A55" a="1"/>
  <c r="A55" s="1"/>
  <c r="I55" s="1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A54" a="1"/>
  <c r="A54" s="1"/>
  <c r="I54" s="1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A53" a="1"/>
  <c r="A53" s="1"/>
  <c r="I53" s="1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A52" a="1"/>
  <c r="A52" s="1"/>
  <c r="I52" s="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A51" a="1"/>
  <c r="A51" s="1"/>
  <c r="I51" s="1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A50" a="1"/>
  <c r="A50" s="1"/>
  <c r="I50" s="1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A49" a="1"/>
  <c r="A49" s="1"/>
  <c r="I49" s="1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A48" a="1"/>
  <c r="A48" s="1"/>
  <c r="I48" s="1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A47" a="1"/>
  <c r="A47" s="1"/>
  <c r="I47" s="1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A46" a="1"/>
  <c r="A46" s="1"/>
  <c r="I46" s="1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A45" a="1"/>
  <c r="A45" s="1"/>
  <c r="I45" s="1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A44" a="1"/>
  <c r="A44" s="1"/>
  <c r="I44" s="1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A43" a="1"/>
  <c r="A43" s="1"/>
  <c r="I43" s="1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A42" a="1"/>
  <c r="A42" s="1"/>
  <c r="I42" s="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A41" a="1"/>
  <c r="A41" s="1"/>
  <c r="I41" s="1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A40" a="1"/>
  <c r="A40" s="1"/>
  <c r="I40" s="1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A39"/>
  <c r="I39" s="1"/>
  <c r="A39" a="1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A38" a="1"/>
  <c r="A38" s="1"/>
  <c r="I38" s="1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A37" a="1"/>
  <c r="A37" s="1"/>
  <c r="I37" s="1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A36" a="1"/>
  <c r="A36" s="1"/>
  <c r="I36" s="1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A35" a="1"/>
  <c r="A35" s="1"/>
  <c r="I35" s="1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A34" a="1"/>
  <c r="A34" s="1"/>
  <c r="I34" s="1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A33" a="1"/>
  <c r="A33" s="1"/>
  <c r="I33" s="1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A32" a="1"/>
  <c r="A32" s="1"/>
  <c r="I32" s="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A31" a="1"/>
  <c r="A31" s="1"/>
  <c r="I31" s="1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A30" a="1"/>
  <c r="A30" s="1"/>
  <c r="I30" s="1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A29" a="1"/>
  <c r="A29" s="1"/>
  <c r="I29" s="1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A28" a="1"/>
  <c r="A28" s="1"/>
  <c r="I28" s="1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A27" a="1"/>
  <c r="A27" s="1"/>
  <c r="I27" s="1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A26" a="1"/>
  <c r="A26" s="1"/>
  <c r="I26" s="1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25" a="1"/>
  <c r="A25" s="1"/>
  <c r="I25" s="1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A24" a="1"/>
  <c r="A24" s="1"/>
  <c r="I24" s="1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23"/>
  <c r="I23" s="1"/>
  <c r="A23" a="1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A22" a="1"/>
  <c r="A22" s="1"/>
  <c r="I22" s="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A21" a="1"/>
  <c r="A21" s="1"/>
  <c r="I21" s="1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20" a="1"/>
  <c r="A20" s="1"/>
  <c r="I20" s="1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A19" a="1"/>
  <c r="A19" s="1"/>
  <c r="I19" s="1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A18"/>
  <c r="I18" s="1"/>
  <c r="A18" a="1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A17" a="1"/>
  <c r="A17" s="1"/>
  <c r="I17" s="1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A16" a="1"/>
  <c r="A16" s="1"/>
  <c r="I16" s="1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A15" a="1"/>
  <c r="A15" s="1"/>
  <c r="I15" s="1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A14" a="1"/>
  <c r="A14" s="1"/>
  <c r="I14" s="1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A13" a="1"/>
  <c r="A13" s="1"/>
  <c r="I13" s="1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A12" a="1"/>
  <c r="A12" s="1"/>
  <c r="I12" s="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T81" s="1"/>
  <c r="S11"/>
  <c r="R11"/>
  <c r="Q11"/>
  <c r="P11"/>
  <c r="P81" s="1"/>
  <c r="O11"/>
  <c r="N11"/>
  <c r="N81" s="1"/>
  <c r="M11"/>
  <c r="L11"/>
  <c r="L81" s="1"/>
  <c r="K11"/>
  <c r="J11"/>
  <c r="J81" s="1"/>
  <c r="A11" a="1"/>
  <c r="A11" s="1"/>
  <c r="I11" s="1"/>
  <c r="A10" a="1"/>
  <c r="A10" s="1"/>
  <c r="AW87" i="50"/>
  <c r="AV87"/>
  <c r="AU87"/>
  <c r="AT87"/>
  <c r="AS87"/>
  <c r="AR87"/>
  <c r="AQ87"/>
  <c r="AP87"/>
  <c r="AO87"/>
  <c r="AN87"/>
  <c r="AM87"/>
  <c r="AL87"/>
  <c r="AK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A87" a="1"/>
  <c r="A87" s="1"/>
  <c r="I87" s="1"/>
  <c r="AW86"/>
  <c r="AU86"/>
  <c r="AT86"/>
  <c r="AR86"/>
  <c r="AQ86"/>
  <c r="AP86"/>
  <c r="AO86"/>
  <c r="AN86"/>
  <c r="AM86"/>
  <c r="AL86"/>
  <c r="AK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D86"/>
  <c r="A86" a="1"/>
  <c r="A86" s="1"/>
  <c r="I86" s="1"/>
  <c r="AV85"/>
  <c r="AU85"/>
  <c r="AT85"/>
  <c r="AS85"/>
  <c r="AR85"/>
  <c r="AQ85"/>
  <c r="AO85"/>
  <c r="AN85"/>
  <c r="AM85"/>
  <c r="AL85"/>
  <c r="AK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D85"/>
  <c r="A85" a="1"/>
  <c r="A85" s="1"/>
  <c r="I85" s="1"/>
  <c r="AV84"/>
  <c r="AU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D84"/>
  <c r="A84" a="1"/>
  <c r="A84" s="1"/>
  <c r="I84" s="1"/>
  <c r="AW83"/>
  <c r="AV83"/>
  <c r="AU83"/>
  <c r="AT83"/>
  <c r="AS83"/>
  <c r="AR83"/>
  <c r="AQ83"/>
  <c r="AP83"/>
  <c r="AO83"/>
  <c r="AN83"/>
  <c r="AM83"/>
  <c r="AL83"/>
  <c r="AK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D83"/>
  <c r="A83" a="1"/>
  <c r="A83" s="1"/>
  <c r="I83" s="1"/>
  <c r="AW82"/>
  <c r="AV82"/>
  <c r="AU82"/>
  <c r="AT82"/>
  <c r="AS82"/>
  <c r="AR82"/>
  <c r="AQ82"/>
  <c r="AP82"/>
  <c r="AO82"/>
  <c r="AN82"/>
  <c r="AM82"/>
  <c r="AL82"/>
  <c r="AK82"/>
  <c r="AJ82"/>
  <c r="AH82"/>
  <c r="AG82"/>
  <c r="AF82"/>
  <c r="AE82"/>
  <c r="AD82"/>
  <c r="AC82"/>
  <c r="AB82"/>
  <c r="AA82"/>
  <c r="Z82"/>
  <c r="Y82"/>
  <c r="X82"/>
  <c r="W82"/>
  <c r="V82"/>
  <c r="U82"/>
  <c r="T82"/>
  <c r="S82"/>
  <c r="Q82"/>
  <c r="P82"/>
  <c r="O82"/>
  <c r="N82"/>
  <c r="M82"/>
  <c r="L82"/>
  <c r="K82"/>
  <c r="J82"/>
  <c r="F82"/>
  <c r="R82" s="1"/>
  <c r="D82"/>
  <c r="A82" a="1"/>
  <c r="A82" s="1"/>
  <c r="I82" s="1"/>
  <c r="AW81"/>
  <c r="AU81"/>
  <c r="AT81"/>
  <c r="AS81"/>
  <c r="AR81"/>
  <c r="AQ81"/>
  <c r="AP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D81"/>
  <c r="A81" a="1"/>
  <c r="A81" s="1"/>
  <c r="I81" s="1"/>
  <c r="AW80"/>
  <c r="AU80"/>
  <c r="AT80"/>
  <c r="AS80"/>
  <c r="AR80"/>
  <c r="AQ80"/>
  <c r="AP80"/>
  <c r="AO80"/>
  <c r="AN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D80"/>
  <c r="A80" a="1"/>
  <c r="A80" s="1"/>
  <c r="I80" s="1"/>
  <c r="AW79"/>
  <c r="AV79"/>
  <c r="AU79"/>
  <c r="AT79"/>
  <c r="AS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A79" a="1"/>
  <c r="A79" s="1"/>
  <c r="I79" s="1"/>
  <c r="AW78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A78" a="1"/>
  <c r="A78" s="1"/>
  <c r="I78" s="1"/>
  <c r="AW77"/>
  <c r="AV77"/>
  <c r="AU77"/>
  <c r="AT77"/>
  <c r="AS77"/>
  <c r="AR77"/>
  <c r="AQ77"/>
  <c r="AP77"/>
  <c r="AO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A77" a="1"/>
  <c r="A77" s="1"/>
  <c r="I77" s="1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A76" a="1"/>
  <c r="A76" s="1"/>
  <c r="I76" s="1"/>
  <c r="AW75"/>
  <c r="AV75"/>
  <c r="AU75"/>
  <c r="AT75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A75" a="1"/>
  <c r="A75" s="1"/>
  <c r="I75" s="1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A74" a="1"/>
  <c r="A74" s="1"/>
  <c r="I74" s="1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73" a="1"/>
  <c r="A73" s="1"/>
  <c r="I73" s="1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A72" a="1"/>
  <c r="A72" s="1"/>
  <c r="I72" s="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A71" a="1"/>
  <c r="A71" s="1"/>
  <c r="I71" s="1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A70" a="1"/>
  <c r="A70" s="1"/>
  <c r="I70" s="1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A69" a="1"/>
  <c r="A69" s="1"/>
  <c r="I69" s="1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A68" a="1"/>
  <c r="A68" s="1"/>
  <c r="I68" s="1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A67" a="1"/>
  <c r="A67" s="1"/>
  <c r="I67" s="1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66" a="1"/>
  <c r="A66" s="1"/>
  <c r="I66" s="1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A65"/>
  <c r="I65" s="1"/>
  <c r="A65" a="1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A64" a="1"/>
  <c r="A64" s="1"/>
  <c r="I64" s="1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A63" a="1"/>
  <c r="A63" s="1"/>
  <c r="I63" s="1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A62" a="1"/>
  <c r="A62" s="1"/>
  <c r="I62" s="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A61" a="1"/>
  <c r="A61" s="1"/>
  <c r="I61" s="1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A60" a="1"/>
  <c r="A60" s="1"/>
  <c r="I60" s="1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A59" a="1"/>
  <c r="A59" s="1"/>
  <c r="I59" s="1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A58" a="1"/>
  <c r="A58" s="1"/>
  <c r="I58" s="1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A57" a="1"/>
  <c r="A57" s="1"/>
  <c r="I57" s="1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A56" a="1"/>
  <c r="A56" s="1"/>
  <c r="I56" s="1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A55" a="1"/>
  <c r="A55" s="1"/>
  <c r="I55" s="1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A54" a="1"/>
  <c r="A54" s="1"/>
  <c r="I54" s="1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A53" a="1"/>
  <c r="A53" s="1"/>
  <c r="I53" s="1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A52" a="1"/>
  <c r="A52" s="1"/>
  <c r="I52" s="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A51" a="1"/>
  <c r="A51" s="1"/>
  <c r="I51" s="1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A50" a="1"/>
  <c r="A50" s="1"/>
  <c r="I50" s="1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A49"/>
  <c r="I49" s="1"/>
  <c r="A49" a="1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A48" a="1"/>
  <c r="A48" s="1"/>
  <c r="I48" s="1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A47" a="1"/>
  <c r="A47" s="1"/>
  <c r="I47" s="1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A46" a="1"/>
  <c r="A46" s="1"/>
  <c r="I46" s="1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A45" a="1"/>
  <c r="A45" s="1"/>
  <c r="I45" s="1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A44" a="1"/>
  <c r="A44" s="1"/>
  <c r="I44" s="1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A43" a="1"/>
  <c r="A43" s="1"/>
  <c r="I43" s="1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A42" a="1"/>
  <c r="A42" s="1"/>
  <c r="I42" s="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A41" a="1"/>
  <c r="A41" s="1"/>
  <c r="I41" s="1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A40" a="1"/>
  <c r="A40" s="1"/>
  <c r="I40" s="1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A39" a="1"/>
  <c r="A39" s="1"/>
  <c r="I39" s="1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A38" a="1"/>
  <c r="A38" s="1"/>
  <c r="I38" s="1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A37" a="1"/>
  <c r="A37" s="1"/>
  <c r="I37" s="1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A36" a="1"/>
  <c r="A36" s="1"/>
  <c r="I36" s="1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A35" a="1"/>
  <c r="A35" s="1"/>
  <c r="I35" s="1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A34" a="1"/>
  <c r="A34" s="1"/>
  <c r="I34" s="1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A33"/>
  <c r="I33" s="1"/>
  <c r="A33" a="1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A32" a="1"/>
  <c r="A32" s="1"/>
  <c r="I32" s="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A31" a="1"/>
  <c r="A31" s="1"/>
  <c r="I31" s="1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A30" a="1"/>
  <c r="A30" s="1"/>
  <c r="I30" s="1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A29" a="1"/>
  <c r="A29" s="1"/>
  <c r="I29" s="1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A28" a="1"/>
  <c r="A28" s="1"/>
  <c r="I28" s="1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A27" a="1"/>
  <c r="A27" s="1"/>
  <c r="I27" s="1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A26" a="1"/>
  <c r="A26" s="1"/>
  <c r="I26" s="1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25" a="1"/>
  <c r="A25" s="1"/>
  <c r="I25" s="1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A24" a="1"/>
  <c r="A24" s="1"/>
  <c r="I24" s="1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23" a="1"/>
  <c r="A23" s="1"/>
  <c r="I23" s="1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A22" a="1"/>
  <c r="A22" s="1"/>
  <c r="I22" s="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A21" a="1"/>
  <c r="A21" s="1"/>
  <c r="I21" s="1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20" a="1"/>
  <c r="A20" s="1"/>
  <c r="I20" s="1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A19" a="1"/>
  <c r="A19" s="1"/>
  <c r="I19" s="1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A18" a="1"/>
  <c r="A18" s="1"/>
  <c r="I18" s="1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A17"/>
  <c r="I17" s="1"/>
  <c r="A17" a="1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A16" a="1"/>
  <c r="A16" s="1"/>
  <c r="I16" s="1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A15" a="1"/>
  <c r="A15" s="1"/>
  <c r="I15" s="1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A14" a="1"/>
  <c r="A14" s="1"/>
  <c r="I14" s="1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A13" a="1"/>
  <c r="A13" s="1"/>
  <c r="I13" s="1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A12" a="1"/>
  <c r="A12" s="1"/>
  <c r="I12" s="1"/>
  <c r="AW11"/>
  <c r="AV11"/>
  <c r="AU11"/>
  <c r="AT11"/>
  <c r="AT88" s="1"/>
  <c r="AS11"/>
  <c r="AR11"/>
  <c r="AR88" s="1"/>
  <c r="AQ11"/>
  <c r="AP11"/>
  <c r="AO11"/>
  <c r="AN11"/>
  <c r="AN88" s="1"/>
  <c r="AM11"/>
  <c r="AL11"/>
  <c r="AL88" s="1"/>
  <c r="AK11"/>
  <c r="AJ11"/>
  <c r="AI11"/>
  <c r="AH11"/>
  <c r="AH88" s="1"/>
  <c r="AG11"/>
  <c r="AF11"/>
  <c r="AF88" s="1"/>
  <c r="AE11"/>
  <c r="AD11"/>
  <c r="AD88" s="1"/>
  <c r="AC11"/>
  <c r="AB11"/>
  <c r="AB88" s="1"/>
  <c r="AA11"/>
  <c r="Z11"/>
  <c r="Z88" s="1"/>
  <c r="Y11"/>
  <c r="X11"/>
  <c r="X88" s="1"/>
  <c r="W11"/>
  <c r="V11"/>
  <c r="V88" s="1"/>
  <c r="U11"/>
  <c r="T11"/>
  <c r="T88" s="1"/>
  <c r="S11"/>
  <c r="R11"/>
  <c r="R88" s="1"/>
  <c r="Q11"/>
  <c r="P11"/>
  <c r="P88" s="1"/>
  <c r="O11"/>
  <c r="N11"/>
  <c r="N88" s="1"/>
  <c r="M11"/>
  <c r="L11"/>
  <c r="L88" s="1"/>
  <c r="K11"/>
  <c r="J11"/>
  <c r="J88" s="1"/>
  <c r="A11" a="1"/>
  <c r="A11" s="1"/>
  <c r="I11" s="1"/>
  <c r="A10" a="1"/>
  <c r="A10" s="1"/>
  <c r="AW45" i="49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A45" a="1"/>
  <c r="A45" s="1"/>
  <c r="I45" s="1"/>
  <c r="AW44"/>
  <c r="AU44"/>
  <c r="AT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D44"/>
  <c r="A44" a="1"/>
  <c r="A44" s="1"/>
  <c r="I44" s="1"/>
  <c r="AV43"/>
  <c r="AU43"/>
  <c r="AT43"/>
  <c r="AS43"/>
  <c r="AR43"/>
  <c r="AQ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D43"/>
  <c r="A43"/>
  <c r="I43" s="1"/>
  <c r="A43" a="1"/>
  <c r="AV42"/>
  <c r="AU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D42"/>
  <c r="A42" a="1"/>
  <c r="A42" s="1"/>
  <c r="I42" s="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D41"/>
  <c r="A41" a="1"/>
  <c r="A41" s="1"/>
  <c r="I41" s="1"/>
  <c r="AW40"/>
  <c r="AV40"/>
  <c r="AU40"/>
  <c r="AT40"/>
  <c r="AS40"/>
  <c r="AR40"/>
  <c r="AQ40"/>
  <c r="AP40"/>
  <c r="AO40"/>
  <c r="AN40"/>
  <c r="AM40"/>
  <c r="AL40"/>
  <c r="AK40"/>
  <c r="AJ40"/>
  <c r="AH40"/>
  <c r="AG40"/>
  <c r="AF40"/>
  <c r="AE40"/>
  <c r="AD40"/>
  <c r="AC40"/>
  <c r="AB40"/>
  <c r="AA40"/>
  <c r="Z40"/>
  <c r="Y40"/>
  <c r="X40"/>
  <c r="W40"/>
  <c r="V40"/>
  <c r="U40"/>
  <c r="T40"/>
  <c r="S40"/>
  <c r="Q40"/>
  <c r="P40"/>
  <c r="O40"/>
  <c r="N40"/>
  <c r="M40"/>
  <c r="L40"/>
  <c r="K40"/>
  <c r="J40"/>
  <c r="F40"/>
  <c r="AI40" s="1"/>
  <c r="D40"/>
  <c r="A40" a="1"/>
  <c r="A40" s="1"/>
  <c r="I40" s="1"/>
  <c r="AW39"/>
  <c r="AU39"/>
  <c r="AT39"/>
  <c r="AS39"/>
  <c r="AR39"/>
  <c r="AQ39"/>
  <c r="AP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D39"/>
  <c r="A39" a="1"/>
  <c r="A39" s="1"/>
  <c r="I39" s="1"/>
  <c r="AW38"/>
  <c r="AU38"/>
  <c r="AT38"/>
  <c r="AS38"/>
  <c r="AR38"/>
  <c r="AQ38"/>
  <c r="AP38"/>
  <c r="AO38"/>
  <c r="AN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D38"/>
  <c r="A38" a="1"/>
  <c r="A38" s="1"/>
  <c r="I38" s="1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A37" a="1"/>
  <c r="A37" s="1"/>
  <c r="I37" s="1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A36" a="1"/>
  <c r="A36" s="1"/>
  <c r="I36" s="1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A35" a="1"/>
  <c r="A35" s="1"/>
  <c r="I35" s="1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A34" a="1"/>
  <c r="A34" s="1"/>
  <c r="I34" s="1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A33" a="1"/>
  <c r="A33" s="1"/>
  <c r="I33" s="1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A32" a="1"/>
  <c r="A32" s="1"/>
  <c r="I32" s="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A31" a="1"/>
  <c r="A31" s="1"/>
  <c r="I31" s="1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A30" a="1"/>
  <c r="A30" s="1"/>
  <c r="I30" s="1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A29" a="1"/>
  <c r="A29" s="1"/>
  <c r="I29" s="1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A28" a="1"/>
  <c r="A28" s="1"/>
  <c r="I28" s="1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A27" a="1"/>
  <c r="A27" s="1"/>
  <c r="I27" s="1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A26" a="1"/>
  <c r="A26" s="1"/>
  <c r="I26" s="1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25" a="1"/>
  <c r="A25" s="1"/>
  <c r="I25" s="1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A24" a="1"/>
  <c r="A24" s="1"/>
  <c r="I24" s="1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23" a="1"/>
  <c r="A23" s="1"/>
  <c r="I23" s="1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A22" a="1"/>
  <c r="A22" s="1"/>
  <c r="I22" s="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A21" a="1"/>
  <c r="A21" s="1"/>
  <c r="I21" s="1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20" a="1"/>
  <c r="A20" s="1"/>
  <c r="I20" s="1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A19" a="1"/>
  <c r="A19" s="1"/>
  <c r="I19" s="1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A18" a="1"/>
  <c r="A18" s="1"/>
  <c r="I18" s="1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A17" a="1"/>
  <c r="A17" s="1"/>
  <c r="I17" s="1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A16" a="1"/>
  <c r="A16" s="1"/>
  <c r="I16" s="1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A15" a="1"/>
  <c r="A15" s="1"/>
  <c r="I15" s="1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A14" a="1"/>
  <c r="A14" s="1"/>
  <c r="I14" s="1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A13" a="1"/>
  <c r="A13" s="1"/>
  <c r="I13" s="1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A12" a="1"/>
  <c r="A12" s="1"/>
  <c r="I12" s="1"/>
  <c r="AW11"/>
  <c r="AV11"/>
  <c r="AU11"/>
  <c r="AU46" s="1"/>
  <c r="AT11"/>
  <c r="AS11"/>
  <c r="AR11"/>
  <c r="AQ11"/>
  <c r="AQ46" s="1"/>
  <c r="AP11"/>
  <c r="AO11"/>
  <c r="AN11"/>
  <c r="AM11"/>
  <c r="AL11"/>
  <c r="AK11"/>
  <c r="AK46" s="1"/>
  <c r="AJ11"/>
  <c r="AI11"/>
  <c r="AI46" s="1"/>
  <c r="AH11"/>
  <c r="AG11"/>
  <c r="AG46" s="1"/>
  <c r="AF11"/>
  <c r="AE11"/>
  <c r="AE46" s="1"/>
  <c r="AD11"/>
  <c r="AC11"/>
  <c r="AC46" s="1"/>
  <c r="AB11"/>
  <c r="AA11"/>
  <c r="AA46" s="1"/>
  <c r="Z11"/>
  <c r="Y11"/>
  <c r="Y46" s="1"/>
  <c r="X11"/>
  <c r="W11"/>
  <c r="W46" s="1"/>
  <c r="V11"/>
  <c r="U11"/>
  <c r="U46" s="1"/>
  <c r="T11"/>
  <c r="S11"/>
  <c r="S46" s="1"/>
  <c r="R11"/>
  <c r="Q11"/>
  <c r="Q46" s="1"/>
  <c r="P11"/>
  <c r="O11"/>
  <c r="O46" s="1"/>
  <c r="N11"/>
  <c r="M11"/>
  <c r="M46" s="1"/>
  <c r="L11"/>
  <c r="K11"/>
  <c r="K46" s="1"/>
  <c r="J11"/>
  <c r="A11" a="1"/>
  <c r="A11" s="1"/>
  <c r="I11" s="1"/>
  <c r="A10" a="1"/>
  <c r="A10" s="1"/>
  <c r="AW59" i="48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AW58"/>
  <c r="AU58"/>
  <c r="AT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D58"/>
  <c r="AV57"/>
  <c r="AU57"/>
  <c r="AT57"/>
  <c r="AS57"/>
  <c r="AR57"/>
  <c r="AQ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D57"/>
  <c r="AV56"/>
  <c r="AU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D56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D55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D54"/>
  <c r="AW53"/>
  <c r="AU53"/>
  <c r="AT53"/>
  <c r="AS53"/>
  <c r="AR53"/>
  <c r="AQ53"/>
  <c r="AP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D53"/>
  <c r="AW52"/>
  <c r="AU52"/>
  <c r="AT52"/>
  <c r="AS52"/>
  <c r="AR52"/>
  <c r="AQ52"/>
  <c r="AP52"/>
  <c r="AO52"/>
  <c r="AN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D52"/>
  <c r="AW51"/>
  <c r="AV51"/>
  <c r="AU51"/>
  <c r="AT51"/>
  <c r="AS51"/>
  <c r="AR51"/>
  <c r="AQ51"/>
  <c r="AP51"/>
  <c r="AO51"/>
  <c r="AN51"/>
  <c r="AM51"/>
  <c r="AL51"/>
  <c r="AK51"/>
  <c r="AJ51"/>
  <c r="AG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AH51"/>
  <c r="D51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AW11"/>
  <c r="AV11"/>
  <c r="AU11"/>
  <c r="AU60" s="1"/>
  <c r="AT11"/>
  <c r="AS11"/>
  <c r="AR11"/>
  <c r="AQ11"/>
  <c r="AQ60" s="1"/>
  <c r="AP11"/>
  <c r="AO11"/>
  <c r="AN11"/>
  <c r="AM11"/>
  <c r="AL11"/>
  <c r="AK11"/>
  <c r="AK60" s="1"/>
  <c r="AJ11"/>
  <c r="AI11"/>
  <c r="AH11"/>
  <c r="AG11"/>
  <c r="AG60" s="1"/>
  <c r="AG62" s="1"/>
  <c r="AF11"/>
  <c r="AE11"/>
  <c r="AE60" s="1"/>
  <c r="AE62" s="1"/>
  <c r="AD11"/>
  <c r="AC11"/>
  <c r="AC60" s="1"/>
  <c r="AC62" s="1"/>
  <c r="AB11"/>
  <c r="AA11"/>
  <c r="AA60" s="1"/>
  <c r="AA62" s="1"/>
  <c r="Z11"/>
  <c r="Y11"/>
  <c r="Y60" s="1"/>
  <c r="Y62" s="1"/>
  <c r="X11"/>
  <c r="W11"/>
  <c r="W60" s="1"/>
  <c r="W62" s="1"/>
  <c r="V11"/>
  <c r="U11"/>
  <c r="U60" s="1"/>
  <c r="U62" s="1"/>
  <c r="T11"/>
  <c r="S11"/>
  <c r="S60" s="1"/>
  <c r="S62" s="1"/>
  <c r="R11"/>
  <c r="Q11"/>
  <c r="Q60" s="1"/>
  <c r="Q62" s="1"/>
  <c r="P11"/>
  <c r="O11"/>
  <c r="O60" s="1"/>
  <c r="O62" s="1"/>
  <c r="N11"/>
  <c r="M11"/>
  <c r="M60" s="1"/>
  <c r="M62" s="1"/>
  <c r="L11"/>
  <c r="K11"/>
  <c r="K60" s="1"/>
  <c r="K62" s="1"/>
  <c r="J11"/>
  <c r="A11" a="1"/>
  <c r="A11" s="1"/>
  <c r="I11" s="1"/>
  <c r="A10" a="1"/>
  <c r="A10" s="1"/>
  <c r="X7" i="34"/>
  <c r="X16" s="1"/>
  <c r="V81" i="51" l="1"/>
  <c r="X81"/>
  <c r="Z81"/>
  <c r="AB81"/>
  <c r="AD81"/>
  <c r="AF81"/>
  <c r="AH81"/>
  <c r="AL81"/>
  <c r="AN81"/>
  <c r="F74" s="1"/>
  <c r="AR81"/>
  <c r="AT81"/>
  <c r="K81"/>
  <c r="M81"/>
  <c r="O81"/>
  <c r="Q81"/>
  <c r="S81"/>
  <c r="U81"/>
  <c r="W81"/>
  <c r="Y81"/>
  <c r="AA81"/>
  <c r="AC81"/>
  <c r="AE81"/>
  <c r="AG81"/>
  <c r="AI81"/>
  <c r="AK81"/>
  <c r="AQ81"/>
  <c r="AU81"/>
  <c r="K88" i="50"/>
  <c r="M88"/>
  <c r="O88"/>
  <c r="Q88"/>
  <c r="S88"/>
  <c r="U88"/>
  <c r="W88"/>
  <c r="Y88"/>
  <c r="AA88"/>
  <c r="AC88"/>
  <c r="AE88"/>
  <c r="AG88"/>
  <c r="AK88"/>
  <c r="AQ88"/>
  <c r="AU88"/>
  <c r="J46" i="49"/>
  <c r="L46"/>
  <c r="N46"/>
  <c r="P46"/>
  <c r="T46"/>
  <c r="V46"/>
  <c r="X46"/>
  <c r="Z46"/>
  <c r="AB46"/>
  <c r="AD46"/>
  <c r="AF46"/>
  <c r="AH46"/>
  <c r="AL46"/>
  <c r="AN46"/>
  <c r="AR46"/>
  <c r="AT46"/>
  <c r="AI51" i="48"/>
  <c r="AF51"/>
  <c r="AI60"/>
  <c r="AI62" s="1"/>
  <c r="J60"/>
  <c r="L60"/>
  <c r="N60"/>
  <c r="P60"/>
  <c r="R60"/>
  <c r="T60"/>
  <c r="V60"/>
  <c r="X60"/>
  <c r="Z60"/>
  <c r="AB60"/>
  <c r="AD60"/>
  <c r="AF60"/>
  <c r="AH60"/>
  <c r="AL60"/>
  <c r="AN60"/>
  <c r="AN62" s="1"/>
  <c r="AN48" i="49" s="1"/>
  <c r="AN90" i="50" s="1"/>
  <c r="AR60" i="48"/>
  <c r="F58" s="1"/>
  <c r="AT60"/>
  <c r="AT61" s="1"/>
  <c r="AT10" i="49" s="1"/>
  <c r="AR62" i="48"/>
  <c r="AR48" i="49" s="1"/>
  <c r="AR90" i="50" s="1"/>
  <c r="AR83" i="51" s="1"/>
  <c r="F38" i="49"/>
  <c r="F39"/>
  <c r="F44"/>
  <c r="AL62" i="48"/>
  <c r="AL48" i="49" s="1"/>
  <c r="AL90" i="50" s="1"/>
  <c r="AL83" i="51" s="1"/>
  <c r="F52" i="48"/>
  <c r="AT62"/>
  <c r="AT48" i="49" s="1"/>
  <c r="AT90" i="50" s="1"/>
  <c r="AK62" i="48"/>
  <c r="AK48" i="49" s="1"/>
  <c r="F56" i="48"/>
  <c r="F57"/>
  <c r="AQ62"/>
  <c r="AQ48" i="49" s="1"/>
  <c r="AQ90" i="50" s="1"/>
  <c r="AQ83" i="51" s="1"/>
  <c r="AU62" i="48"/>
  <c r="K61"/>
  <c r="K10" i="49" s="1"/>
  <c r="M61" i="48"/>
  <c r="M10" i="49" s="1"/>
  <c r="O61" i="48"/>
  <c r="O10" i="49" s="1"/>
  <c r="Q61" i="48"/>
  <c r="Q10" i="49" s="1"/>
  <c r="S61" i="48"/>
  <c r="S10" i="49" s="1"/>
  <c r="U61" i="48"/>
  <c r="U10" i="49" s="1"/>
  <c r="W61" i="48"/>
  <c r="W10" i="49" s="1"/>
  <c r="Y61" i="48"/>
  <c r="Y10" i="49" s="1"/>
  <c r="AA61" i="48"/>
  <c r="AA10" i="49" s="1"/>
  <c r="AC61" i="48"/>
  <c r="AC10" i="49" s="1"/>
  <c r="AE61" i="48"/>
  <c r="AE10" i="49" s="1"/>
  <c r="AG61" i="48"/>
  <c r="AG10" i="49" s="1"/>
  <c r="AI61" i="48"/>
  <c r="AI10" i="49" s="1"/>
  <c r="F42"/>
  <c r="F84" i="50"/>
  <c r="F85"/>
  <c r="K48" i="49"/>
  <c r="K90" i="50" s="1"/>
  <c r="K83" i="51" s="1"/>
  <c r="M48" i="49"/>
  <c r="O48"/>
  <c r="O90" i="50" s="1"/>
  <c r="O83" i="51" s="1"/>
  <c r="Q48" i="49"/>
  <c r="S48"/>
  <c r="S90" i="50" s="1"/>
  <c r="S83" i="51" s="1"/>
  <c r="U48" i="49"/>
  <c r="W48"/>
  <c r="W90" i="50" s="1"/>
  <c r="W83" i="51" s="1"/>
  <c r="Y48" i="49"/>
  <c r="AA48"/>
  <c r="AA90" i="50" s="1"/>
  <c r="AA83" i="51" s="1"/>
  <c r="AC48" i="49"/>
  <c r="AE48"/>
  <c r="AE90" i="50" s="1"/>
  <c r="AE83" i="51" s="1"/>
  <c r="AG48" i="49"/>
  <c r="AI48"/>
  <c r="AU48"/>
  <c r="M90" i="50"/>
  <c r="Q90"/>
  <c r="Q83" i="51" s="1"/>
  <c r="U90" i="50"/>
  <c r="Y90"/>
  <c r="Y83" i="51" s="1"/>
  <c r="AC90" i="50"/>
  <c r="AG90"/>
  <c r="AG83" i="51" s="1"/>
  <c r="F80" i="50"/>
  <c r="F81"/>
  <c r="F86"/>
  <c r="R40" i="49"/>
  <c r="R46" s="1"/>
  <c r="F43"/>
  <c r="F77" i="51"/>
  <c r="F78"/>
  <c r="AI82" i="50"/>
  <c r="AI88" s="1"/>
  <c r="F73" i="51"/>
  <c r="F79"/>
  <c r="R75"/>
  <c r="R81" s="1"/>
  <c r="X10" i="34"/>
  <c r="X235"/>
  <c r="X233"/>
  <c r="X231"/>
  <c r="X229"/>
  <c r="X227"/>
  <c r="X225"/>
  <c r="X223"/>
  <c r="X221"/>
  <c r="X219"/>
  <c r="X217"/>
  <c r="X215"/>
  <c r="X211"/>
  <c r="X207"/>
  <c r="X203"/>
  <c r="X199"/>
  <c r="X195"/>
  <c r="X191"/>
  <c r="X187"/>
  <c r="X183"/>
  <c r="X179"/>
  <c r="X175"/>
  <c r="X171"/>
  <c r="X167"/>
  <c r="X163"/>
  <c r="X159"/>
  <c r="X155"/>
  <c r="X151"/>
  <c r="X147"/>
  <c r="X143"/>
  <c r="X139"/>
  <c r="X135"/>
  <c r="X131"/>
  <c r="X127"/>
  <c r="X123"/>
  <c r="X119"/>
  <c r="X115"/>
  <c r="X111"/>
  <c r="X107"/>
  <c r="X103"/>
  <c r="X99"/>
  <c r="X95"/>
  <c r="X91"/>
  <c r="X87"/>
  <c r="X83"/>
  <c r="X79"/>
  <c r="X75"/>
  <c r="X71"/>
  <c r="X67"/>
  <c r="X63"/>
  <c r="X59"/>
  <c r="X55"/>
  <c r="X51"/>
  <c r="X47"/>
  <c r="X43"/>
  <c r="X39"/>
  <c r="X35"/>
  <c r="X31"/>
  <c r="X27"/>
  <c r="X23"/>
  <c r="X19"/>
  <c r="X15"/>
  <c r="X11"/>
  <c r="X12"/>
  <c r="X14"/>
  <c r="X18"/>
  <c r="X20"/>
  <c r="X22"/>
  <c r="X24"/>
  <c r="X26"/>
  <c r="X28"/>
  <c r="X30"/>
  <c r="X32"/>
  <c r="X34"/>
  <c r="X36"/>
  <c r="X38"/>
  <c r="X40"/>
  <c r="X42"/>
  <c r="X44"/>
  <c r="X46"/>
  <c r="X48"/>
  <c r="X50"/>
  <c r="X52"/>
  <c r="X54"/>
  <c r="X56"/>
  <c r="X58"/>
  <c r="X60"/>
  <c r="X62"/>
  <c r="X64"/>
  <c r="X66"/>
  <c r="X68"/>
  <c r="X70"/>
  <c r="X72"/>
  <c r="X74"/>
  <c r="X76"/>
  <c r="X78"/>
  <c r="X80"/>
  <c r="X82"/>
  <c r="X84"/>
  <c r="X86"/>
  <c r="X88"/>
  <c r="X90"/>
  <c r="X92"/>
  <c r="X94"/>
  <c r="X96"/>
  <c r="X98"/>
  <c r="X100"/>
  <c r="X102"/>
  <c r="X104"/>
  <c r="X106"/>
  <c r="X108"/>
  <c r="X110"/>
  <c r="X112"/>
  <c r="X114"/>
  <c r="X116"/>
  <c r="X118"/>
  <c r="X120"/>
  <c r="X122"/>
  <c r="X124"/>
  <c r="X126"/>
  <c r="X128"/>
  <c r="X130"/>
  <c r="X132"/>
  <c r="X134"/>
  <c r="X136"/>
  <c r="X138"/>
  <c r="X140"/>
  <c r="X142"/>
  <c r="X144"/>
  <c r="X146"/>
  <c r="X148"/>
  <c r="X150"/>
  <c r="X152"/>
  <c r="X154"/>
  <c r="X156"/>
  <c r="X158"/>
  <c r="X160"/>
  <c r="X162"/>
  <c r="X164"/>
  <c r="X166"/>
  <c r="X168"/>
  <c r="X170"/>
  <c r="X172"/>
  <c r="X174"/>
  <c r="X176"/>
  <c r="X178"/>
  <c r="X180"/>
  <c r="X182"/>
  <c r="X184"/>
  <c r="X186"/>
  <c r="X188"/>
  <c r="X190"/>
  <c r="X192"/>
  <c r="X194"/>
  <c r="X196"/>
  <c r="X198"/>
  <c r="X200"/>
  <c r="X202"/>
  <c r="X204"/>
  <c r="X206"/>
  <c r="X208"/>
  <c r="X210"/>
  <c r="X212"/>
  <c r="X214"/>
  <c r="X236"/>
  <c r="X234"/>
  <c r="X232"/>
  <c r="X230"/>
  <c r="X228"/>
  <c r="X226"/>
  <c r="X224"/>
  <c r="X222"/>
  <c r="X220"/>
  <c r="X218"/>
  <c r="X216"/>
  <c r="X213"/>
  <c r="X209"/>
  <c r="X205"/>
  <c r="X201"/>
  <c r="X197"/>
  <c r="X193"/>
  <c r="X189"/>
  <c r="X185"/>
  <c r="X181"/>
  <c r="X177"/>
  <c r="X173"/>
  <c r="X169"/>
  <c r="X165"/>
  <c r="X161"/>
  <c r="X157"/>
  <c r="X153"/>
  <c r="X149"/>
  <c r="X145"/>
  <c r="X141"/>
  <c r="X137"/>
  <c r="X133"/>
  <c r="X129"/>
  <c r="X125"/>
  <c r="X121"/>
  <c r="X117"/>
  <c r="X113"/>
  <c r="X109"/>
  <c r="X105"/>
  <c r="X101"/>
  <c r="X97"/>
  <c r="X93"/>
  <c r="X89"/>
  <c r="X85"/>
  <c r="X81"/>
  <c r="X77"/>
  <c r="X73"/>
  <c r="X69"/>
  <c r="X65"/>
  <c r="X61"/>
  <c r="X57"/>
  <c r="X53"/>
  <c r="X49"/>
  <c r="X45"/>
  <c r="X41"/>
  <c r="X37"/>
  <c r="X33"/>
  <c r="X29"/>
  <c r="X25"/>
  <c r="X21"/>
  <c r="X17"/>
  <c r="X13"/>
  <c r="M83" i="51" l="1"/>
  <c r="AC83"/>
  <c r="U83"/>
  <c r="AT83"/>
  <c r="AN83"/>
  <c r="AU90" i="50"/>
  <c r="AU83" i="51" s="1"/>
  <c r="AK90" i="50"/>
  <c r="AK83" i="51" s="1"/>
  <c r="F53" i="48"/>
  <c r="AV53" s="1"/>
  <c r="AU61"/>
  <c r="AU10" i="49" s="1"/>
  <c r="AI90" i="50"/>
  <c r="AI83" i="51" s="1"/>
  <c r="AF62" i="48"/>
  <c r="AF48" i="49" s="1"/>
  <c r="AF90" i="50" s="1"/>
  <c r="AF83" i="51" s="1"/>
  <c r="AF61" i="48"/>
  <c r="AF10" i="49" s="1"/>
  <c r="AF47" s="1"/>
  <c r="AF10" i="50" s="1"/>
  <c r="AB62" i="48"/>
  <c r="AB48" i="49" s="1"/>
  <c r="AB90" i="50" s="1"/>
  <c r="AB83" i="51" s="1"/>
  <c r="AB61" i="48"/>
  <c r="AB10" i="49" s="1"/>
  <c r="AC47" s="1"/>
  <c r="AC10" i="50" s="1"/>
  <c r="X62" i="48"/>
  <c r="X48" i="49" s="1"/>
  <c r="X90" i="50" s="1"/>
  <c r="X83" i="51" s="1"/>
  <c r="X61" i="48"/>
  <c r="X10" i="49" s="1"/>
  <c r="X47" s="1"/>
  <c r="X10" i="50" s="1"/>
  <c r="T62" i="48"/>
  <c r="T48" i="49" s="1"/>
  <c r="T90" i="50" s="1"/>
  <c r="T83" i="51" s="1"/>
  <c r="T61" i="48"/>
  <c r="T10" i="49" s="1"/>
  <c r="U47" s="1"/>
  <c r="U10" i="50" s="1"/>
  <c r="P62" i="48"/>
  <c r="P48" i="49" s="1"/>
  <c r="P90" i="50" s="1"/>
  <c r="P83" i="51" s="1"/>
  <c r="P61" i="48"/>
  <c r="P10" i="49" s="1"/>
  <c r="P47" s="1"/>
  <c r="P10" i="50" s="1"/>
  <c r="L62" i="48"/>
  <c r="L48" i="49" s="1"/>
  <c r="L90" i="50" s="1"/>
  <c r="L83" i="51" s="1"/>
  <c r="L61" i="48"/>
  <c r="L10" i="49" s="1"/>
  <c r="M47" s="1"/>
  <c r="M10" i="50" s="1"/>
  <c r="AH62" i="48"/>
  <c r="AH48" i="49" s="1"/>
  <c r="AH90" i="50" s="1"/>
  <c r="AH83" i="51" s="1"/>
  <c r="AH61" i="48"/>
  <c r="AH10" i="49" s="1"/>
  <c r="AD62" i="48"/>
  <c r="AD48" i="49" s="1"/>
  <c r="AD90" i="50" s="1"/>
  <c r="AD83" i="51" s="1"/>
  <c r="AD61" i="48"/>
  <c r="AD10" i="49" s="1"/>
  <c r="AE47" s="1"/>
  <c r="AE10" i="50" s="1"/>
  <c r="Z62" i="48"/>
  <c r="Z48" i="49" s="1"/>
  <c r="Z90" i="50" s="1"/>
  <c r="Z83" i="51" s="1"/>
  <c r="Z61" i="48"/>
  <c r="Z10" i="49" s="1"/>
  <c r="V62" i="48"/>
  <c r="V48" i="49" s="1"/>
  <c r="V90" i="50" s="1"/>
  <c r="V83" i="51" s="1"/>
  <c r="V61" i="48"/>
  <c r="V10" i="49" s="1"/>
  <c r="W47" s="1"/>
  <c r="W10" i="50" s="1"/>
  <c r="R62" i="48"/>
  <c r="R61"/>
  <c r="R10" i="49" s="1"/>
  <c r="S47" s="1"/>
  <c r="S10" i="50" s="1"/>
  <c r="N62" i="48"/>
  <c r="N48" i="49" s="1"/>
  <c r="N90" i="50" s="1"/>
  <c r="N83" i="51" s="1"/>
  <c r="N61" i="48"/>
  <c r="N10" i="49" s="1"/>
  <c r="O47" s="1"/>
  <c r="O10" i="50" s="1"/>
  <c r="J62" i="48"/>
  <c r="J48" i="49" s="1"/>
  <c r="J90" i="50" s="1"/>
  <c r="J83" i="51" s="1"/>
  <c r="J61" i="48"/>
  <c r="J10" i="49" s="1"/>
  <c r="J47" s="1"/>
  <c r="J10" i="50" s="1"/>
  <c r="R48" i="49"/>
  <c r="R90" i="50" s="1"/>
  <c r="R47" i="49"/>
  <c r="R10" i="50" s="1"/>
  <c r="R83" i="51"/>
  <c r="AV79"/>
  <c r="AS79"/>
  <c r="AS81" s="1"/>
  <c r="AV74"/>
  <c r="AO74"/>
  <c r="AO81" s="1"/>
  <c r="AW78"/>
  <c r="AP78"/>
  <c r="AP81" s="1"/>
  <c r="AJ77"/>
  <c r="AJ81" s="1"/>
  <c r="AW77"/>
  <c r="AW84" i="50"/>
  <c r="AJ84"/>
  <c r="AJ88" s="1"/>
  <c r="AJ42" i="49"/>
  <c r="AJ46" s="1"/>
  <c r="AW42"/>
  <c r="AG47"/>
  <c r="AG10" i="50" s="1"/>
  <c r="Y47" i="49"/>
  <c r="Y10" i="50" s="1"/>
  <c r="Q47" i="49"/>
  <c r="Q10" i="50" s="1"/>
  <c r="AW56" i="48"/>
  <c r="AJ56"/>
  <c r="AJ60" s="1"/>
  <c r="AT47" i="49"/>
  <c r="AT10" i="50" s="1"/>
  <c r="AM52" i="48"/>
  <c r="AM60" s="1"/>
  <c r="AV52"/>
  <c r="AV44" i="49"/>
  <c r="AS44"/>
  <c r="AS46" s="1"/>
  <c r="AV39"/>
  <c r="AO39"/>
  <c r="AO46" s="1"/>
  <c r="AO53" i="48"/>
  <c r="AO60" s="1"/>
  <c r="AM73" i="51"/>
  <c r="AM81" s="1"/>
  <c r="AV73"/>
  <c r="AV81" s="1"/>
  <c r="AW43" i="49"/>
  <c r="AP43"/>
  <c r="AP46" s="1"/>
  <c r="AS86" i="50"/>
  <c r="AS88" s="1"/>
  <c r="AV86"/>
  <c r="AO81"/>
  <c r="AO88" s="1"/>
  <c r="AV81"/>
  <c r="AV80"/>
  <c r="AM80"/>
  <c r="AM88" s="1"/>
  <c r="AP85"/>
  <c r="AP88" s="1"/>
  <c r="AW85"/>
  <c r="AI47" i="49"/>
  <c r="AI10" i="50" s="1"/>
  <c r="AA47" i="49"/>
  <c r="AA10" i="50" s="1"/>
  <c r="AU47" i="49"/>
  <c r="AU10" i="50" s="1"/>
  <c r="AP57" i="48"/>
  <c r="AP60" s="1"/>
  <c r="AW57"/>
  <c r="AM38" i="49"/>
  <c r="AM46" s="1"/>
  <c r="AV38"/>
  <c r="AV46" s="1"/>
  <c r="AS58" i="48"/>
  <c r="AS60" s="1"/>
  <c r="AV58"/>
  <c r="AH47" i="49"/>
  <c r="AH10" i="50" s="1"/>
  <c r="Z47" i="49"/>
  <c r="Z10" i="50" s="1"/>
  <c r="N47" i="49"/>
  <c r="N10" i="50" s="1"/>
  <c r="C15" i="47"/>
  <c r="D16"/>
  <c r="A17"/>
  <c r="E17"/>
  <c r="B18"/>
  <c r="F18"/>
  <c r="C19"/>
  <c r="D20"/>
  <c r="A21"/>
  <c r="E21"/>
  <c r="B22"/>
  <c r="F22"/>
  <c r="C23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C20"/>
  <c r="G20"/>
  <c r="D21"/>
  <c r="A22"/>
  <c r="E22"/>
  <c r="B23"/>
  <c r="F23"/>
  <c r="C24"/>
  <c r="G24"/>
  <c r="D25"/>
  <c r="A26"/>
  <c r="E26"/>
  <c r="B27"/>
  <c r="F27"/>
  <c r="C28"/>
  <c r="G28"/>
  <c r="D29"/>
  <c r="A30"/>
  <c r="E30"/>
  <c r="B31"/>
  <c r="F31"/>
  <c r="C32"/>
  <c r="G32"/>
  <c r="B16"/>
  <c r="C17"/>
  <c r="D18"/>
  <c r="A19"/>
  <c r="E19"/>
  <c r="B20"/>
  <c r="C21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C18"/>
  <c r="D19"/>
  <c r="A20"/>
  <c r="E20"/>
  <c r="B21"/>
  <c r="F21"/>
  <c r="C22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A15"/>
  <c r="E15"/>
  <c r="K47" i="49" l="1"/>
  <c r="K10" i="50" s="1"/>
  <c r="AW81" i="51"/>
  <c r="T47" i="49"/>
  <c r="T10" i="50" s="1"/>
  <c r="T89" s="1"/>
  <c r="T10" i="51" s="1"/>
  <c r="AB47" i="49"/>
  <c r="AB10" i="50" s="1"/>
  <c r="L47" i="49"/>
  <c r="L10" i="50" s="1"/>
  <c r="L89" s="1"/>
  <c r="L10" i="51" s="1"/>
  <c r="AB89" i="50"/>
  <c r="AB10" i="51" s="1"/>
  <c r="X89" i="50"/>
  <c r="X10" i="51" s="1"/>
  <c r="AF89" i="50"/>
  <c r="AF10" i="51" s="1"/>
  <c r="V47" i="49"/>
  <c r="V10" i="50" s="1"/>
  <c r="W89" s="1"/>
  <c r="W10" i="51" s="1"/>
  <c r="AD47" i="49"/>
  <c r="AD10" i="50" s="1"/>
  <c r="K89"/>
  <c r="K10" i="51" s="1"/>
  <c r="O89" i="50"/>
  <c r="O10" i="51" s="1"/>
  <c r="S89" i="50"/>
  <c r="S10" i="51" s="1"/>
  <c r="AO62" i="48"/>
  <c r="AO61"/>
  <c r="AO10" i="49" s="1"/>
  <c r="AN61" i="48"/>
  <c r="AN10" i="49" s="1"/>
  <c r="AJ62" i="48"/>
  <c r="AJ61"/>
  <c r="AJ10" i="49" s="1"/>
  <c r="AK61" i="48"/>
  <c r="AK10" i="49" s="1"/>
  <c r="M89" i="50"/>
  <c r="M10" i="51" s="1"/>
  <c r="Q89" i="50"/>
  <c r="Q10" i="51" s="1"/>
  <c r="U89" i="50"/>
  <c r="U10" i="51" s="1"/>
  <c r="AO48" i="49"/>
  <c r="AV60" i="48"/>
  <c r="AW46" i="49"/>
  <c r="AS62" i="48"/>
  <c r="AS48" i="49" s="1"/>
  <c r="AS90" i="50" s="1"/>
  <c r="AS83" i="51" s="1"/>
  <c r="AS61" i="48"/>
  <c r="AS10" i="49" s="1"/>
  <c r="AR61" i="48"/>
  <c r="AR10" i="49" s="1"/>
  <c r="AP62" i="48"/>
  <c r="AP48" i="49" s="1"/>
  <c r="AP90" i="50" s="1"/>
  <c r="AP83" i="51" s="1"/>
  <c r="AP61" i="48"/>
  <c r="AP10" i="49" s="1"/>
  <c r="AQ61" i="48"/>
  <c r="AQ10" i="49" s="1"/>
  <c r="AU89" i="50"/>
  <c r="AU10" i="51" s="1"/>
  <c r="AA89" i="50"/>
  <c r="AA10" i="51" s="1"/>
  <c r="AE89" i="50"/>
  <c r="AE10" i="51" s="1"/>
  <c r="AI89" i="50"/>
  <c r="AI10" i="51" s="1"/>
  <c r="AM62" i="48"/>
  <c r="AM48" i="49" s="1"/>
  <c r="AM90" i="50" s="1"/>
  <c r="AM83" i="51" s="1"/>
  <c r="AM61" i="48"/>
  <c r="AM10" i="49" s="1"/>
  <c r="AL61" i="48"/>
  <c r="AL10" i="49" s="1"/>
  <c r="AT89" i="50"/>
  <c r="AT10" i="51" s="1"/>
  <c r="Y89" i="50"/>
  <c r="Y10" i="51" s="1"/>
  <c r="Y82" s="1"/>
  <c r="AC89" i="50"/>
  <c r="AC10" i="51" s="1"/>
  <c r="AC82" s="1"/>
  <c r="AG89" i="50"/>
  <c r="AG10" i="51" s="1"/>
  <c r="AG82" s="1"/>
  <c r="AV88" i="50"/>
  <c r="AO90"/>
  <c r="AO83" i="51" s="1"/>
  <c r="P89" i="50"/>
  <c r="P10" i="51" s="1"/>
  <c r="P82" s="1"/>
  <c r="J89" i="50"/>
  <c r="J10" i="51" s="1"/>
  <c r="J82" s="1"/>
  <c r="N89" i="50"/>
  <c r="N10" i="51" s="1"/>
  <c r="R89" i="50"/>
  <c r="R10" i="51" s="1"/>
  <c r="R82" s="1"/>
  <c r="Z89" i="50"/>
  <c r="Z10" i="51" s="1"/>
  <c r="AD89" i="50"/>
  <c r="AD10" i="51" s="1"/>
  <c r="AH89" i="50"/>
  <c r="AH10" i="51" s="1"/>
  <c r="AW60" i="48"/>
  <c r="AJ48" i="49"/>
  <c r="AJ90" i="50" s="1"/>
  <c r="AJ83" i="51" s="1"/>
  <c r="AW88" i="50"/>
  <c r="I14" i="47"/>
  <c r="H14"/>
  <c r="E8"/>
  <c r="L82" i="51" l="1"/>
  <c r="L88" s="1"/>
  <c r="T82"/>
  <c r="V89" i="50"/>
  <c r="V10" i="51" s="1"/>
  <c r="V82" s="1"/>
  <c r="AT82"/>
  <c r="W82"/>
  <c r="O82"/>
  <c r="AI82"/>
  <c r="AA82"/>
  <c r="Q82"/>
  <c r="N82"/>
  <c r="AE82"/>
  <c r="U82"/>
  <c r="M82"/>
  <c r="S82"/>
  <c r="K82"/>
  <c r="AL47" i="49"/>
  <c r="AL10" i="50" s="1"/>
  <c r="AP47" i="49"/>
  <c r="AP10" i="50" s="1"/>
  <c r="AR47" i="49"/>
  <c r="AR10" i="50" s="1"/>
  <c r="AJ47" i="49"/>
  <c r="AJ10" i="50" s="1"/>
  <c r="AN47" i="49"/>
  <c r="AN10" i="50" s="1"/>
  <c r="AU82" i="51"/>
  <c r="AH82"/>
  <c r="Z82"/>
  <c r="AB82"/>
  <c r="AW62" i="48"/>
  <c r="AW48" i="49" s="1"/>
  <c r="AW90" i="50" s="1"/>
  <c r="AW83" i="51" s="1"/>
  <c r="AW61" i="48"/>
  <c r="AW10" i="49" s="1"/>
  <c r="AM47"/>
  <c r="AM10" i="50" s="1"/>
  <c r="AQ47" i="49"/>
  <c r="AQ10" i="50" s="1"/>
  <c r="AS47" i="49"/>
  <c r="AS10" i="50" s="1"/>
  <c r="AV62" i="48"/>
  <c r="AV48" i="49" s="1"/>
  <c r="AV61" i="48"/>
  <c r="AV10" i="49" s="1"/>
  <c r="AK47"/>
  <c r="AK10" i="50" s="1"/>
  <c r="AO47" i="49"/>
  <c r="AO10" i="50" s="1"/>
  <c r="AV90"/>
  <c r="AV83" i="51" s="1"/>
  <c r="AD82"/>
  <c r="AF82"/>
  <c r="X82"/>
  <c r="AV47" i="49" l="1"/>
  <c r="AV10" i="50" s="1"/>
  <c r="AO89"/>
  <c r="AO10" i="51" s="1"/>
  <c r="AK89" i="50"/>
  <c r="AK10" i="51" s="1"/>
  <c r="AS89" i="50"/>
  <c r="AS10" i="51" s="1"/>
  <c r="AQ89" i="50"/>
  <c r="AQ10" i="51" s="1"/>
  <c r="AM89" i="50"/>
  <c r="AM10" i="51" s="1"/>
  <c r="AN89" i="50"/>
  <c r="AN10" i="51" s="1"/>
  <c r="AJ89" i="50"/>
  <c r="AJ10" i="51" s="1"/>
  <c r="AR89" i="50"/>
  <c r="AR10" i="51" s="1"/>
  <c r="AP89" i="50"/>
  <c r="AP10" i="51" s="1"/>
  <c r="AL89" i="50"/>
  <c r="AL10" i="51" s="1"/>
  <c r="AW47" i="49"/>
  <c r="AW10" i="50" s="1"/>
  <c r="AL82" i="51" l="1"/>
  <c r="AR82"/>
  <c r="AN82"/>
  <c r="AP82"/>
  <c r="AJ82"/>
  <c r="AW89" i="50"/>
  <c r="AW10" i="51" s="1"/>
  <c r="AV89" i="50"/>
  <c r="AV10" i="51" s="1"/>
  <c r="AM82"/>
  <c r="AQ82"/>
  <c r="AS82"/>
  <c r="AK82"/>
  <c r="AO82"/>
  <c r="W11" i="34"/>
  <c r="W12"/>
  <c r="W13"/>
  <c r="W14"/>
  <c r="W15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10"/>
  <c r="H15" i="46"/>
  <c r="G15"/>
  <c r="B17" l="1"/>
  <c r="AV82" i="51"/>
  <c r="AW82"/>
  <c r="A16" i="46"/>
  <c r="H16"/>
  <c r="G16"/>
  <c r="G17"/>
  <c r="E17"/>
  <c r="C17"/>
  <c r="A17"/>
  <c r="B16"/>
  <c r="D16"/>
  <c r="F16" s="1"/>
  <c r="E16"/>
  <c r="H17"/>
  <c r="D17"/>
  <c r="F17" s="1"/>
  <c r="G24" l="1"/>
  <c r="A23"/>
  <c r="G19"/>
  <c r="H19"/>
  <c r="F10" i="45"/>
  <c r="E10"/>
  <c r="I21" i="47" l="1"/>
  <c r="I22" s="1"/>
  <c r="H20" i="46"/>
  <c r="G20"/>
  <c r="A6" i="44"/>
  <c r="J9"/>
  <c r="D40" s="1"/>
  <c r="I9"/>
  <c r="E35"/>
  <c r="M209" i="34"/>
  <c r="M210"/>
  <c r="M211"/>
  <c r="M212"/>
  <c r="M213"/>
  <c r="M21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B159"/>
  <c r="A159" s="1"/>
  <c r="C159"/>
  <c r="B160"/>
  <c r="A160" s="1"/>
  <c r="C160"/>
  <c r="B161"/>
  <c r="A161" s="1"/>
  <c r="C161"/>
  <c r="B162"/>
  <c r="A162" s="1"/>
  <c r="C162"/>
  <c r="B163"/>
  <c r="A163" s="1"/>
  <c r="C163"/>
  <c r="B164"/>
  <c r="A164" s="1"/>
  <c r="C164"/>
  <c r="B165"/>
  <c r="A165" s="1"/>
  <c r="C165"/>
  <c r="B166"/>
  <c r="A166" s="1"/>
  <c r="C166"/>
  <c r="B167"/>
  <c r="A167" s="1"/>
  <c r="C167"/>
  <c r="B168"/>
  <c r="A168" s="1"/>
  <c r="C168"/>
  <c r="B169"/>
  <c r="A169" s="1"/>
  <c r="C169"/>
  <c r="B170"/>
  <c r="A170" s="1"/>
  <c r="C170"/>
  <c r="B171"/>
  <c r="A171" s="1"/>
  <c r="C171"/>
  <c r="B172"/>
  <c r="A172" s="1"/>
  <c r="C172"/>
  <c r="B173"/>
  <c r="A173" s="1"/>
  <c r="C173"/>
  <c r="B174"/>
  <c r="A174" s="1"/>
  <c r="C174"/>
  <c r="B175"/>
  <c r="A175" s="1"/>
  <c r="C175"/>
  <c r="B176"/>
  <c r="A176" s="1"/>
  <c r="C176"/>
  <c r="B177"/>
  <c r="A177" s="1"/>
  <c r="C177"/>
  <c r="B178"/>
  <c r="A178" s="1"/>
  <c r="C178"/>
  <c r="B179"/>
  <c r="A179" s="1"/>
  <c r="C179"/>
  <c r="B180"/>
  <c r="A180" s="1"/>
  <c r="C180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B115"/>
  <c r="A115" s="1"/>
  <c r="C115"/>
  <c r="B116"/>
  <c r="A116" s="1"/>
  <c r="C116"/>
  <c r="B117"/>
  <c r="A117" s="1"/>
  <c r="C117"/>
  <c r="B119"/>
  <c r="A119" s="1"/>
  <c r="C119"/>
  <c r="B120"/>
  <c r="A120" s="1"/>
  <c r="C120"/>
  <c r="B122"/>
  <c r="A122" s="1"/>
  <c r="C122"/>
  <c r="B123"/>
  <c r="A123" s="1"/>
  <c r="C123"/>
  <c r="B124"/>
  <c r="A124" s="1"/>
  <c r="C124"/>
  <c r="B125"/>
  <c r="A125" s="1"/>
  <c r="C125"/>
  <c r="B126"/>
  <c r="A126" s="1"/>
  <c r="C126"/>
  <c r="B127"/>
  <c r="A127" s="1"/>
  <c r="C127"/>
  <c r="B128"/>
  <c r="A128" s="1"/>
  <c r="C128"/>
  <c r="B129"/>
  <c r="A129" s="1"/>
  <c r="C129"/>
  <c r="B130"/>
  <c r="A130" s="1"/>
  <c r="C130"/>
  <c r="B131"/>
  <c r="A131" s="1"/>
  <c r="C131"/>
  <c r="B59"/>
  <c r="A59" s="1"/>
  <c r="C59"/>
  <c r="B60"/>
  <c r="A60" s="1"/>
  <c r="C60"/>
  <c r="B61"/>
  <c r="A61" s="1"/>
  <c r="C61"/>
  <c r="B62"/>
  <c r="A62" s="1"/>
  <c r="C62"/>
  <c r="B63"/>
  <c r="A63" s="1"/>
  <c r="C63"/>
  <c r="B64"/>
  <c r="A64" s="1"/>
  <c r="C64"/>
  <c r="B66"/>
  <c r="A66" s="1"/>
  <c r="C66"/>
  <c r="B67"/>
  <c r="A67" s="1"/>
  <c r="C67"/>
  <c r="B70"/>
  <c r="A70" s="1"/>
  <c r="C70"/>
  <c r="B71"/>
  <c r="A71" s="1"/>
  <c r="C71"/>
  <c r="B72"/>
  <c r="A72" s="1"/>
  <c r="C72"/>
  <c r="B73"/>
  <c r="A73" s="1"/>
  <c r="C73"/>
  <c r="B75"/>
  <c r="A75" s="1"/>
  <c r="C75"/>
  <c r="B76"/>
  <c r="A76" s="1"/>
  <c r="C76"/>
  <c r="B77"/>
  <c r="A77" s="1"/>
  <c r="C77"/>
  <c r="B78"/>
  <c r="A78" s="1"/>
  <c r="C78"/>
  <c r="B79"/>
  <c r="A79" s="1"/>
  <c r="C79"/>
  <c r="B80"/>
  <c r="A80" s="1"/>
  <c r="C80"/>
  <c r="B82"/>
  <c r="A82" s="1"/>
  <c r="C82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15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B18"/>
  <c r="A18" s="1"/>
  <c r="C18"/>
  <c r="B19"/>
  <c r="A19" s="1"/>
  <c r="C19"/>
  <c r="B20"/>
  <c r="A20" s="1"/>
  <c r="C20"/>
  <c r="A21"/>
  <c r="B21"/>
  <c r="C21"/>
  <c r="B22"/>
  <c r="A22" s="1"/>
  <c r="C22"/>
  <c r="B23"/>
  <c r="A23" s="1"/>
  <c r="C23"/>
  <c r="B24"/>
  <c r="A24" s="1"/>
  <c r="C24"/>
  <c r="B25"/>
  <c r="A25" s="1"/>
  <c r="C25"/>
  <c r="B26"/>
  <c r="A26" s="1"/>
  <c r="C26"/>
  <c r="B27"/>
  <c r="A27" s="1"/>
  <c r="C27"/>
  <c r="B28"/>
  <c r="A28" s="1"/>
  <c r="C28"/>
  <c r="B29"/>
  <c r="A29" s="1"/>
  <c r="C29"/>
  <c r="B30"/>
  <c r="A30" s="1"/>
  <c r="C30"/>
  <c r="B31"/>
  <c r="A31" s="1"/>
  <c r="C31"/>
  <c r="B32"/>
  <c r="A32" s="1"/>
  <c r="C32"/>
  <c r="B33"/>
  <c r="A33" s="1"/>
  <c r="C33"/>
  <c r="B35"/>
  <c r="A35" s="1"/>
  <c r="C35"/>
  <c r="B36"/>
  <c r="A36" s="1"/>
  <c r="C36"/>
  <c r="B38"/>
  <c r="A38" s="1"/>
  <c r="C38"/>
  <c r="B39"/>
  <c r="A39" s="1"/>
  <c r="C39"/>
  <c r="O9" i="43"/>
  <c r="I75" s="1"/>
  <c r="N9"/>
  <c r="O10" i="42"/>
  <c r="N10"/>
  <c r="V16" i="34" l="1"/>
  <c r="U16"/>
  <c r="T16"/>
  <c r="R16"/>
  <c r="S16"/>
  <c r="Q16"/>
  <c r="N16"/>
  <c r="P16"/>
  <c r="O16"/>
  <c r="H22" i="47"/>
  <c r="H23" s="1"/>
  <c r="T18" i="34"/>
  <c r="V18"/>
  <c r="U19"/>
  <c r="T20"/>
  <c r="V20"/>
  <c r="U21"/>
  <c r="T22"/>
  <c r="V22"/>
  <c r="U23"/>
  <c r="T24"/>
  <c r="V24"/>
  <c r="U25"/>
  <c r="T26"/>
  <c r="V26"/>
  <c r="U27"/>
  <c r="T28"/>
  <c r="V28"/>
  <c r="U29"/>
  <c r="T30"/>
  <c r="V30"/>
  <c r="U31"/>
  <c r="T32"/>
  <c r="V32"/>
  <c r="U33"/>
  <c r="U35"/>
  <c r="T36"/>
  <c r="V36"/>
  <c r="T38"/>
  <c r="V38"/>
  <c r="U39"/>
  <c r="U59"/>
  <c r="T60"/>
  <c r="V60"/>
  <c r="U61"/>
  <c r="T62"/>
  <c r="V62"/>
  <c r="U63"/>
  <c r="T64"/>
  <c r="V64"/>
  <c r="T66"/>
  <c r="V66"/>
  <c r="U67"/>
  <c r="T70"/>
  <c r="V70"/>
  <c r="U71"/>
  <c r="T72"/>
  <c r="V72"/>
  <c r="U73"/>
  <c r="U75"/>
  <c r="T76"/>
  <c r="V76"/>
  <c r="U77"/>
  <c r="T78"/>
  <c r="V78"/>
  <c r="U79"/>
  <c r="T80"/>
  <c r="V80"/>
  <c r="T82"/>
  <c r="V82"/>
  <c r="U115"/>
  <c r="T116"/>
  <c r="V116"/>
  <c r="U117"/>
  <c r="U119"/>
  <c r="T120"/>
  <c r="V120"/>
  <c r="T122"/>
  <c r="V122"/>
  <c r="U123"/>
  <c r="T124"/>
  <c r="V124"/>
  <c r="U125"/>
  <c r="T126"/>
  <c r="V126"/>
  <c r="U127"/>
  <c r="T128"/>
  <c r="V128"/>
  <c r="U129"/>
  <c r="T130"/>
  <c r="V130"/>
  <c r="U131"/>
  <c r="T19"/>
  <c r="U20"/>
  <c r="V21"/>
  <c r="T23"/>
  <c r="U24"/>
  <c r="V25"/>
  <c r="T27"/>
  <c r="U28"/>
  <c r="V29"/>
  <c r="T31"/>
  <c r="U32"/>
  <c r="V33"/>
  <c r="T35"/>
  <c r="U36"/>
  <c r="T39"/>
  <c r="T59"/>
  <c r="U60"/>
  <c r="V61"/>
  <c r="T63"/>
  <c r="U64"/>
  <c r="T67"/>
  <c r="T71"/>
  <c r="U72"/>
  <c r="V73"/>
  <c r="T75"/>
  <c r="U76"/>
  <c r="V77"/>
  <c r="T79"/>
  <c r="U80"/>
  <c r="T115"/>
  <c r="U116"/>
  <c r="V117"/>
  <c r="T119"/>
  <c r="U120"/>
  <c r="T123"/>
  <c r="U124"/>
  <c r="V125"/>
  <c r="T127"/>
  <c r="U128"/>
  <c r="V129"/>
  <c r="T131"/>
  <c r="U159"/>
  <c r="T160"/>
  <c r="V160"/>
  <c r="U161"/>
  <c r="T162"/>
  <c r="V162"/>
  <c r="U163"/>
  <c r="T164"/>
  <c r="V164"/>
  <c r="U165"/>
  <c r="T166"/>
  <c r="V166"/>
  <c r="U167"/>
  <c r="T168"/>
  <c r="V168"/>
  <c r="U169"/>
  <c r="T170"/>
  <c r="V170"/>
  <c r="U171"/>
  <c r="T172"/>
  <c r="V172"/>
  <c r="U173"/>
  <c r="T174"/>
  <c r="V174"/>
  <c r="U175"/>
  <c r="T176"/>
  <c r="V176"/>
  <c r="U177"/>
  <c r="T178"/>
  <c r="V178"/>
  <c r="U179"/>
  <c r="T180"/>
  <c r="V180"/>
  <c r="U18"/>
  <c r="V19"/>
  <c r="T21"/>
  <c r="U22"/>
  <c r="V23"/>
  <c r="T25"/>
  <c r="U26"/>
  <c r="V27"/>
  <c r="T29"/>
  <c r="U30"/>
  <c r="V31"/>
  <c r="T33"/>
  <c r="V35"/>
  <c r="U38"/>
  <c r="V39"/>
  <c r="V59"/>
  <c r="T61"/>
  <c r="U62"/>
  <c r="V63"/>
  <c r="U66"/>
  <c r="V67"/>
  <c r="U70"/>
  <c r="V71"/>
  <c r="T73"/>
  <c r="V75"/>
  <c r="T77"/>
  <c r="U78"/>
  <c r="V79"/>
  <c r="U82"/>
  <c r="V115"/>
  <c r="T117"/>
  <c r="V119"/>
  <c r="U122"/>
  <c r="V123"/>
  <c r="T125"/>
  <c r="U126"/>
  <c r="V127"/>
  <c r="T129"/>
  <c r="U130"/>
  <c r="V131"/>
  <c r="T159"/>
  <c r="V159"/>
  <c r="U160"/>
  <c r="T161"/>
  <c r="V161"/>
  <c r="U162"/>
  <c r="T163"/>
  <c r="V163"/>
  <c r="U164"/>
  <c r="T165"/>
  <c r="V165"/>
  <c r="U166"/>
  <c r="T167"/>
  <c r="V167"/>
  <c r="U168"/>
  <c r="T169"/>
  <c r="V169"/>
  <c r="U170"/>
  <c r="T171"/>
  <c r="V171"/>
  <c r="U172"/>
  <c r="T173"/>
  <c r="V173"/>
  <c r="U174"/>
  <c r="T175"/>
  <c r="V175"/>
  <c r="U176"/>
  <c r="T177"/>
  <c r="V177"/>
  <c r="U178"/>
  <c r="T179"/>
  <c r="V179"/>
  <c r="U180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2"/>
  <c r="N33"/>
  <c r="P33"/>
  <c r="N35"/>
  <c r="P35"/>
  <c r="O36"/>
  <c r="O38"/>
  <c r="N39"/>
  <c r="P39"/>
  <c r="N59"/>
  <c r="P59"/>
  <c r="O60"/>
  <c r="N61"/>
  <c r="P61"/>
  <c r="O62"/>
  <c r="N63"/>
  <c r="P63"/>
  <c r="O64"/>
  <c r="O66"/>
  <c r="N67"/>
  <c r="P67"/>
  <c r="O70"/>
  <c r="N71"/>
  <c r="P71"/>
  <c r="O72"/>
  <c r="N73"/>
  <c r="P73"/>
  <c r="N75"/>
  <c r="P75"/>
  <c r="O76"/>
  <c r="N77"/>
  <c r="P77"/>
  <c r="O78"/>
  <c r="N79"/>
  <c r="P79"/>
  <c r="O80"/>
  <c r="O82"/>
  <c r="N115"/>
  <c r="P115"/>
  <c r="O116"/>
  <c r="N117"/>
  <c r="P117"/>
  <c r="N119"/>
  <c r="P119"/>
  <c r="O120"/>
  <c r="O122"/>
  <c r="N123"/>
  <c r="P123"/>
  <c r="O124"/>
  <c r="N125"/>
  <c r="P125"/>
  <c r="O126"/>
  <c r="N127"/>
  <c r="P127"/>
  <c r="O128"/>
  <c r="N129"/>
  <c r="P129"/>
  <c r="O130"/>
  <c r="N131"/>
  <c r="P131"/>
  <c r="N159"/>
  <c r="P159"/>
  <c r="O160"/>
  <c r="N161"/>
  <c r="P161"/>
  <c r="O162"/>
  <c r="N163"/>
  <c r="P163"/>
  <c r="O164"/>
  <c r="N165"/>
  <c r="P165"/>
  <c r="O166"/>
  <c r="N167"/>
  <c r="P167"/>
  <c r="O168"/>
  <c r="N169"/>
  <c r="P169"/>
  <c r="O170"/>
  <c r="N171"/>
  <c r="P171"/>
  <c r="O172"/>
  <c r="N173"/>
  <c r="P173"/>
  <c r="O174"/>
  <c r="N175"/>
  <c r="P175"/>
  <c r="O176"/>
  <c r="N177"/>
  <c r="P177"/>
  <c r="O178"/>
  <c r="N179"/>
  <c r="P179"/>
  <c r="O180"/>
  <c r="N18"/>
  <c r="P18"/>
  <c r="O19"/>
  <c r="N20"/>
  <c r="P20"/>
  <c r="O21"/>
  <c r="N22"/>
  <c r="P22"/>
  <c r="O23"/>
  <c r="N24"/>
  <c r="P24"/>
  <c r="O25"/>
  <c r="N26"/>
  <c r="P26"/>
  <c r="O27"/>
  <c r="N28"/>
  <c r="P28"/>
  <c r="O29"/>
  <c r="N30"/>
  <c r="P30"/>
  <c r="O31"/>
  <c r="N32"/>
  <c r="P32"/>
  <c r="O33"/>
  <c r="O35"/>
  <c r="N36"/>
  <c r="P36"/>
  <c r="N38"/>
  <c r="P38"/>
  <c r="O39"/>
  <c r="O59"/>
  <c r="N60"/>
  <c r="P60"/>
  <c r="O61"/>
  <c r="N62"/>
  <c r="P62"/>
  <c r="O63"/>
  <c r="N64"/>
  <c r="P64"/>
  <c r="N66"/>
  <c r="P66"/>
  <c r="O67"/>
  <c r="N70"/>
  <c r="P70"/>
  <c r="O71"/>
  <c r="N72"/>
  <c r="P72"/>
  <c r="O73"/>
  <c r="O75"/>
  <c r="N76"/>
  <c r="P76"/>
  <c r="O77"/>
  <c r="N78"/>
  <c r="P78"/>
  <c r="O79"/>
  <c r="N80"/>
  <c r="P80"/>
  <c r="N82"/>
  <c r="P82"/>
  <c r="O115"/>
  <c r="N116"/>
  <c r="P116"/>
  <c r="O117"/>
  <c r="O119"/>
  <c r="N120"/>
  <c r="P120"/>
  <c r="N122"/>
  <c r="P122"/>
  <c r="O123"/>
  <c r="N124"/>
  <c r="P124"/>
  <c r="O125"/>
  <c r="N126"/>
  <c r="P126"/>
  <c r="O127"/>
  <c r="N128"/>
  <c r="P128"/>
  <c r="O129"/>
  <c r="N130"/>
  <c r="P130"/>
  <c r="O131"/>
  <c r="O159"/>
  <c r="N160"/>
  <c r="P160"/>
  <c r="O161"/>
  <c r="N162"/>
  <c r="P162"/>
  <c r="O163"/>
  <c r="N164"/>
  <c r="P164"/>
  <c r="O165"/>
  <c r="N166"/>
  <c r="P166"/>
  <c r="O167"/>
  <c r="N168"/>
  <c r="P168"/>
  <c r="O169"/>
  <c r="N170"/>
  <c r="P170"/>
  <c r="O171"/>
  <c r="N172"/>
  <c r="P172"/>
  <c r="O173"/>
  <c r="N174"/>
  <c r="P174"/>
  <c r="O175"/>
  <c r="N176"/>
  <c r="P176"/>
  <c r="O177"/>
  <c r="N178"/>
  <c r="P178"/>
  <c r="O179"/>
  <c r="N180"/>
  <c r="P180"/>
  <c r="R180"/>
  <c r="S179"/>
  <c r="Q179"/>
  <c r="R178"/>
  <c r="S177"/>
  <c r="Q177"/>
  <c r="R176"/>
  <c r="S175"/>
  <c r="Q175"/>
  <c r="R174"/>
  <c r="S173"/>
  <c r="Q173"/>
  <c r="R172"/>
  <c r="S171"/>
  <c r="Q171"/>
  <c r="R170"/>
  <c r="S169"/>
  <c r="Q169"/>
  <c r="R168"/>
  <c r="S167"/>
  <c r="Q167"/>
  <c r="R166"/>
  <c r="S165"/>
  <c r="Q165"/>
  <c r="R164"/>
  <c r="S163"/>
  <c r="Q163"/>
  <c r="R162"/>
  <c r="S161"/>
  <c r="Q161"/>
  <c r="R160"/>
  <c r="S159"/>
  <c r="Q159"/>
  <c r="S180"/>
  <c r="Q180"/>
  <c r="R179"/>
  <c r="S178"/>
  <c r="Q178"/>
  <c r="R177"/>
  <c r="S176"/>
  <c r="Q176"/>
  <c r="R175"/>
  <c r="S174"/>
  <c r="Q174"/>
  <c r="R173"/>
  <c r="S172"/>
  <c r="Q172"/>
  <c r="R171"/>
  <c r="S170"/>
  <c r="Q170"/>
  <c r="R169"/>
  <c r="S168"/>
  <c r="Q168"/>
  <c r="R167"/>
  <c r="S166"/>
  <c r="Q166"/>
  <c r="R165"/>
  <c r="S164"/>
  <c r="Q164"/>
  <c r="R163"/>
  <c r="S162"/>
  <c r="Q162"/>
  <c r="R161"/>
  <c r="S160"/>
  <c r="Q160"/>
  <c r="R159"/>
  <c r="R131"/>
  <c r="S130"/>
  <c r="Q130"/>
  <c r="R129"/>
  <c r="S128"/>
  <c r="Q128"/>
  <c r="R127"/>
  <c r="S126"/>
  <c r="Q126"/>
  <c r="R125"/>
  <c r="S124"/>
  <c r="Q124"/>
  <c r="R123"/>
  <c r="S122"/>
  <c r="Q122"/>
  <c r="S120"/>
  <c r="Q120"/>
  <c r="R119"/>
  <c r="R117"/>
  <c r="S116"/>
  <c r="Q116"/>
  <c r="R115"/>
  <c r="S131"/>
  <c r="Q131"/>
  <c r="R130"/>
  <c r="S129"/>
  <c r="Q129"/>
  <c r="R128"/>
  <c r="S127"/>
  <c r="Q127"/>
  <c r="R126"/>
  <c r="S125"/>
  <c r="Q125"/>
  <c r="R124"/>
  <c r="S123"/>
  <c r="Q123"/>
  <c r="R122"/>
  <c r="R120"/>
  <c r="S119"/>
  <c r="Q119"/>
  <c r="S117"/>
  <c r="Q117"/>
  <c r="R116"/>
  <c r="S115"/>
  <c r="Q115"/>
  <c r="S82"/>
  <c r="Q82"/>
  <c r="S80"/>
  <c r="Q80"/>
  <c r="R79"/>
  <c r="S78"/>
  <c r="Q78"/>
  <c r="R77"/>
  <c r="S76"/>
  <c r="Q76"/>
  <c r="R75"/>
  <c r="R73"/>
  <c r="S72"/>
  <c r="Q72"/>
  <c r="R71"/>
  <c r="S70"/>
  <c r="Q70"/>
  <c r="R67"/>
  <c r="S66"/>
  <c r="Q66"/>
  <c r="S64"/>
  <c r="Q64"/>
  <c r="R63"/>
  <c r="S62"/>
  <c r="Q62"/>
  <c r="R61"/>
  <c r="S60"/>
  <c r="Q60"/>
  <c r="R59"/>
  <c r="R82"/>
  <c r="R80"/>
  <c r="S79"/>
  <c r="Q79"/>
  <c r="R78"/>
  <c r="S77"/>
  <c r="Q77"/>
  <c r="R76"/>
  <c r="S75"/>
  <c r="Q75"/>
  <c r="S73"/>
  <c r="Q73"/>
  <c r="R72"/>
  <c r="S71"/>
  <c r="Q71"/>
  <c r="R70"/>
  <c r="S67"/>
  <c r="Q67"/>
  <c r="R66"/>
  <c r="R64"/>
  <c r="S63"/>
  <c r="Q63"/>
  <c r="R62"/>
  <c r="S61"/>
  <c r="Q61"/>
  <c r="R60"/>
  <c r="S59"/>
  <c r="Q59"/>
  <c r="R39"/>
  <c r="S38"/>
  <c r="Q38"/>
  <c r="S36"/>
  <c r="Q36"/>
  <c r="R35"/>
  <c r="R33"/>
  <c r="S32"/>
  <c r="Q32"/>
  <c r="R31"/>
  <c r="S30"/>
  <c r="Q30"/>
  <c r="R29"/>
  <c r="S28"/>
  <c r="Q28"/>
  <c r="R27"/>
  <c r="S26"/>
  <c r="Q26"/>
  <c r="R25"/>
  <c r="S24"/>
  <c r="Q24"/>
  <c r="R23"/>
  <c r="S22"/>
  <c r="Q22"/>
  <c r="R21"/>
  <c r="S20"/>
  <c r="Q20"/>
  <c r="R19"/>
  <c r="S18"/>
  <c r="Q18"/>
  <c r="S39"/>
  <c r="Q39"/>
  <c r="R38"/>
  <c r="R36"/>
  <c r="S35"/>
  <c r="Q35"/>
  <c r="S33"/>
  <c r="Q33"/>
  <c r="R32"/>
  <c r="S31"/>
  <c r="Q31"/>
  <c r="R30"/>
  <c r="S29"/>
  <c r="Q29"/>
  <c r="R28"/>
  <c r="S27"/>
  <c r="Q27"/>
  <c r="R26"/>
  <c r="S25"/>
  <c r="Q25"/>
  <c r="R24"/>
  <c r="S23"/>
  <c r="Q23"/>
  <c r="R22"/>
  <c r="S21"/>
  <c r="Q21"/>
  <c r="R20"/>
  <c r="S19"/>
  <c r="Q19"/>
  <c r="R18"/>
  <c r="I23" i="47" l="1"/>
  <c r="I24" s="1"/>
  <c r="D33" i="15"/>
  <c r="C33"/>
  <c r="D30"/>
  <c r="D15"/>
  <c r="D13"/>
  <c r="C13"/>
  <c r="C41" l="1"/>
  <c r="H24" i="47"/>
  <c r="H25" s="1"/>
  <c r="D41" i="15"/>
  <c r="I13" i="14"/>
  <c r="J13"/>
  <c r="A34" i="12"/>
  <c r="A33"/>
  <c r="M50" i="34"/>
  <c r="M51"/>
  <c r="M52"/>
  <c r="M53"/>
  <c r="M54"/>
  <c r="M55"/>
  <c r="M56"/>
  <c r="M57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48"/>
  <c r="M149"/>
  <c r="M150"/>
  <c r="M151"/>
  <c r="M152"/>
  <c r="M153"/>
  <c r="M154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11"/>
  <c r="M12"/>
  <c r="M13"/>
  <c r="M14"/>
  <c r="M10"/>
  <c r="A32" i="12"/>
  <c r="D14" i="14" l="1"/>
  <c r="H14"/>
  <c r="E14"/>
  <c r="G14"/>
  <c r="B14"/>
  <c r="I25" i="47"/>
  <c r="I26" s="1"/>
  <c r="H26" l="1"/>
  <c r="H27" s="1"/>
  <c r="A215" i="34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I27" i="47" l="1"/>
  <c r="I28" s="1"/>
  <c r="L1" i="39"/>
  <c r="L3"/>
  <c r="L2"/>
  <c r="H28" i="47" l="1"/>
  <c r="H29" s="1"/>
  <c r="M17" i="39"/>
  <c r="H17"/>
  <c r="C11"/>
  <c r="M7"/>
  <c r="L7"/>
  <c r="I29" i="47" l="1"/>
  <c r="I30" s="1"/>
  <c r="H4" i="39"/>
  <c r="H30" i="47" l="1"/>
  <c r="H31" s="1"/>
  <c r="I31" l="1"/>
  <c r="I32" s="1"/>
  <c r="H32" l="1"/>
  <c r="C16" i="46" l="1"/>
  <c r="A15" i="12"/>
  <c r="A20"/>
  <c r="A14" l="1"/>
  <c r="A31"/>
  <c r="B211" i="34" l="1"/>
  <c r="A211" s="1"/>
  <c r="C211"/>
  <c r="B212"/>
  <c r="A212" s="1"/>
  <c r="C212"/>
  <c r="B210"/>
  <c r="A210" s="1"/>
  <c r="C210"/>
  <c r="J11"/>
  <c r="J15"/>
  <c r="J14"/>
  <c r="G19" i="47" s="1"/>
  <c r="J13" i="34"/>
  <c r="J12"/>
  <c r="F17" i="47" s="1"/>
  <c r="F16" l="1"/>
  <c r="G18"/>
  <c r="G17"/>
  <c r="F20"/>
  <c r="F19"/>
  <c r="F34" s="1"/>
  <c r="V210" i="34"/>
  <c r="U210"/>
  <c r="T210"/>
  <c r="O210"/>
  <c r="N210"/>
  <c r="P210"/>
  <c r="S210"/>
  <c r="R210"/>
  <c r="Q210"/>
  <c r="T212"/>
  <c r="V212"/>
  <c r="U212"/>
  <c r="P212"/>
  <c r="O212"/>
  <c r="N212"/>
  <c r="Q212"/>
  <c r="S212"/>
  <c r="R212"/>
  <c r="U211"/>
  <c r="T211"/>
  <c r="V211"/>
  <c r="P211"/>
  <c r="O211"/>
  <c r="N211"/>
  <c r="S211"/>
  <c r="R211"/>
  <c r="Q211"/>
  <c r="C15"/>
  <c r="B15"/>
  <c r="A15" s="1"/>
  <c r="B213"/>
  <c r="A213" s="1"/>
  <c r="C213"/>
  <c r="B214"/>
  <c r="A214" s="1"/>
  <c r="C214"/>
  <c r="B209"/>
  <c r="A209" s="1"/>
  <c r="C209"/>
  <c r="B215"/>
  <c r="C215"/>
  <c r="B216"/>
  <c r="C216"/>
  <c r="B217"/>
  <c r="C217"/>
  <c r="B218"/>
  <c r="C218"/>
  <c r="B219"/>
  <c r="C219"/>
  <c r="B220"/>
  <c r="C220"/>
  <c r="B221"/>
  <c r="C221"/>
  <c r="B222"/>
  <c r="C222"/>
  <c r="B223"/>
  <c r="C223"/>
  <c r="B224"/>
  <c r="C224"/>
  <c r="B225"/>
  <c r="C225"/>
  <c r="B226"/>
  <c r="C226"/>
  <c r="B227"/>
  <c r="C227"/>
  <c r="B228"/>
  <c r="C228"/>
  <c r="B229"/>
  <c r="C229"/>
  <c r="B230"/>
  <c r="C230"/>
  <c r="B231"/>
  <c r="C231"/>
  <c r="B232"/>
  <c r="C232"/>
  <c r="B233"/>
  <c r="C233"/>
  <c r="B234"/>
  <c r="C234"/>
  <c r="B235"/>
  <c r="C235"/>
  <c r="B236"/>
  <c r="C236"/>
  <c r="B199"/>
  <c r="A199" s="1"/>
  <c r="B200"/>
  <c r="A200" s="1"/>
  <c r="B203"/>
  <c r="A203" s="1"/>
  <c r="B204"/>
  <c r="A204" s="1"/>
  <c r="B205"/>
  <c r="A205" s="1"/>
  <c r="B206"/>
  <c r="A206" s="1"/>
  <c r="B207"/>
  <c r="A207" s="1"/>
  <c r="B208"/>
  <c r="A208" s="1"/>
  <c r="A13" i="12"/>
  <c r="A12"/>
  <c r="A30"/>
  <c r="C200" i="34"/>
  <c r="C203"/>
  <c r="C204"/>
  <c r="C205"/>
  <c r="C206"/>
  <c r="C207"/>
  <c r="C208"/>
  <c r="A29" i="12"/>
  <c r="A11"/>
  <c r="B191" i="34"/>
  <c r="A191" s="1"/>
  <c r="C191"/>
  <c r="B201"/>
  <c r="A201" s="1"/>
  <c r="C201"/>
  <c r="B202"/>
  <c r="A202" s="1"/>
  <c r="C202"/>
  <c r="B142"/>
  <c r="A142" s="1"/>
  <c r="C142"/>
  <c r="B151"/>
  <c r="A151" s="1"/>
  <c r="C151"/>
  <c r="B155"/>
  <c r="A155" s="1"/>
  <c r="C155"/>
  <c r="B109"/>
  <c r="A109" s="1"/>
  <c r="C109"/>
  <c r="B154"/>
  <c r="A154" s="1"/>
  <c r="C154"/>
  <c r="B152"/>
  <c r="A152" s="1"/>
  <c r="C152"/>
  <c r="B153"/>
  <c r="A153" s="1"/>
  <c r="C153"/>
  <c r="B95"/>
  <c r="A95" s="1"/>
  <c r="C95"/>
  <c r="B94"/>
  <c r="A94" s="1"/>
  <c r="C94"/>
  <c r="C137"/>
  <c r="B137"/>
  <c r="A137" s="1"/>
  <c r="C136"/>
  <c r="B136"/>
  <c r="A136" s="1"/>
  <c r="C135"/>
  <c r="B135"/>
  <c r="A135" s="1"/>
  <c r="B11"/>
  <c r="A11" s="1"/>
  <c r="A28" i="12"/>
  <c r="V136" i="34" l="1"/>
  <c r="U136"/>
  <c r="T136"/>
  <c r="O136"/>
  <c r="P136"/>
  <c r="N136"/>
  <c r="T94"/>
  <c r="V94"/>
  <c r="U94"/>
  <c r="O94"/>
  <c r="N94"/>
  <c r="P94"/>
  <c r="T152"/>
  <c r="V152"/>
  <c r="U152"/>
  <c r="P152"/>
  <c r="O152"/>
  <c r="N152"/>
  <c r="V151"/>
  <c r="U151"/>
  <c r="T151"/>
  <c r="P151"/>
  <c r="O151"/>
  <c r="N151"/>
  <c r="V202"/>
  <c r="U202"/>
  <c r="T202"/>
  <c r="O202"/>
  <c r="N202"/>
  <c r="P202"/>
  <c r="V207"/>
  <c r="U207"/>
  <c r="T207"/>
  <c r="P207"/>
  <c r="O207"/>
  <c r="N207"/>
  <c r="V203"/>
  <c r="U203"/>
  <c r="T203"/>
  <c r="P203"/>
  <c r="O203"/>
  <c r="N203"/>
  <c r="U135"/>
  <c r="V135"/>
  <c r="T135"/>
  <c r="N135"/>
  <c r="P135"/>
  <c r="O135"/>
  <c r="U137"/>
  <c r="V137"/>
  <c r="T137"/>
  <c r="P137"/>
  <c r="N137"/>
  <c r="O137"/>
  <c r="U95"/>
  <c r="V95"/>
  <c r="T95"/>
  <c r="N95"/>
  <c r="P95"/>
  <c r="O95"/>
  <c r="U153"/>
  <c r="T153"/>
  <c r="V153"/>
  <c r="N153"/>
  <c r="P153"/>
  <c r="O153"/>
  <c r="V154"/>
  <c r="U154"/>
  <c r="T154"/>
  <c r="O154"/>
  <c r="N154"/>
  <c r="P154"/>
  <c r="V155"/>
  <c r="U155"/>
  <c r="T155"/>
  <c r="P155"/>
  <c r="O155"/>
  <c r="N155"/>
  <c r="T142"/>
  <c r="V142"/>
  <c r="U142"/>
  <c r="O142"/>
  <c r="N142"/>
  <c r="P142"/>
  <c r="U201"/>
  <c r="T201"/>
  <c r="V201"/>
  <c r="N201"/>
  <c r="P201"/>
  <c r="O201"/>
  <c r="V191"/>
  <c r="U191"/>
  <c r="T191"/>
  <c r="P191"/>
  <c r="O191"/>
  <c r="N191"/>
  <c r="T208"/>
  <c r="V208"/>
  <c r="U208"/>
  <c r="P208"/>
  <c r="O208"/>
  <c r="N208"/>
  <c r="V206"/>
  <c r="U206"/>
  <c r="T206"/>
  <c r="O206"/>
  <c r="N206"/>
  <c r="P206"/>
  <c r="T204"/>
  <c r="V204"/>
  <c r="U204"/>
  <c r="P204"/>
  <c r="O204"/>
  <c r="N204"/>
  <c r="T200"/>
  <c r="V200"/>
  <c r="U200"/>
  <c r="P200"/>
  <c r="O200"/>
  <c r="N200"/>
  <c r="T236"/>
  <c r="V236"/>
  <c r="U236"/>
  <c r="O236"/>
  <c r="N236"/>
  <c r="P236"/>
  <c r="U235"/>
  <c r="T235"/>
  <c r="N235"/>
  <c r="V235"/>
  <c r="P235"/>
  <c r="O235"/>
  <c r="V234"/>
  <c r="T234"/>
  <c r="U234"/>
  <c r="O234"/>
  <c r="P234"/>
  <c r="N234"/>
  <c r="U233"/>
  <c r="V233"/>
  <c r="P233"/>
  <c r="T233"/>
  <c r="N233"/>
  <c r="O233"/>
  <c r="T232"/>
  <c r="V232"/>
  <c r="U232"/>
  <c r="O232"/>
  <c r="N232"/>
  <c r="P232"/>
  <c r="U231"/>
  <c r="T231"/>
  <c r="N231"/>
  <c r="V231"/>
  <c r="P231"/>
  <c r="O231"/>
  <c r="V230"/>
  <c r="T230"/>
  <c r="U230"/>
  <c r="O230"/>
  <c r="P230"/>
  <c r="N230"/>
  <c r="U229"/>
  <c r="V229"/>
  <c r="P229"/>
  <c r="T229"/>
  <c r="N229"/>
  <c r="O229"/>
  <c r="T228"/>
  <c r="V228"/>
  <c r="U228"/>
  <c r="O228"/>
  <c r="N228"/>
  <c r="P228"/>
  <c r="U227"/>
  <c r="T227"/>
  <c r="N227"/>
  <c r="V227"/>
  <c r="P227"/>
  <c r="O227"/>
  <c r="V226"/>
  <c r="T226"/>
  <c r="U226"/>
  <c r="O226"/>
  <c r="P226"/>
  <c r="N226"/>
  <c r="U225"/>
  <c r="V225"/>
  <c r="P225"/>
  <c r="T225"/>
  <c r="N225"/>
  <c r="O225"/>
  <c r="T224"/>
  <c r="V224"/>
  <c r="U224"/>
  <c r="O224"/>
  <c r="N224"/>
  <c r="P224"/>
  <c r="U223"/>
  <c r="T223"/>
  <c r="N223"/>
  <c r="V223"/>
  <c r="P223"/>
  <c r="O223"/>
  <c r="V222"/>
  <c r="T222"/>
  <c r="U222"/>
  <c r="O222"/>
  <c r="P222"/>
  <c r="N222"/>
  <c r="U221"/>
  <c r="V221"/>
  <c r="P221"/>
  <c r="T221"/>
  <c r="N221"/>
  <c r="O221"/>
  <c r="T220"/>
  <c r="V220"/>
  <c r="U220"/>
  <c r="O220"/>
  <c r="N220"/>
  <c r="P220"/>
  <c r="U219"/>
  <c r="T219"/>
  <c r="N219"/>
  <c r="V219"/>
  <c r="P219"/>
  <c r="O219"/>
  <c r="V218"/>
  <c r="T218"/>
  <c r="U218"/>
  <c r="O218"/>
  <c r="P218"/>
  <c r="N218"/>
  <c r="U217"/>
  <c r="V217"/>
  <c r="P217"/>
  <c r="T217"/>
  <c r="N217"/>
  <c r="O217"/>
  <c r="T216"/>
  <c r="V216"/>
  <c r="U216"/>
  <c r="O216"/>
  <c r="N216"/>
  <c r="P216"/>
  <c r="U215"/>
  <c r="T215"/>
  <c r="N215"/>
  <c r="V215"/>
  <c r="P215"/>
  <c r="O215"/>
  <c r="V109"/>
  <c r="T109"/>
  <c r="U109"/>
  <c r="P109"/>
  <c r="N109"/>
  <c r="O109"/>
  <c r="U205"/>
  <c r="T205"/>
  <c r="V205"/>
  <c r="N205"/>
  <c r="P205"/>
  <c r="O205"/>
  <c r="U209"/>
  <c r="T209"/>
  <c r="V209"/>
  <c r="N209"/>
  <c r="P209"/>
  <c r="O209"/>
  <c r="R209"/>
  <c r="Q209"/>
  <c r="S209"/>
  <c r="U213"/>
  <c r="V213"/>
  <c r="T213"/>
  <c r="N213"/>
  <c r="P213"/>
  <c r="O213"/>
  <c r="R213"/>
  <c r="Q213"/>
  <c r="S213"/>
  <c r="V214"/>
  <c r="T214"/>
  <c r="U214"/>
  <c r="O214"/>
  <c r="N214"/>
  <c r="P214"/>
  <c r="S214"/>
  <c r="R214"/>
  <c r="Q214"/>
  <c r="V15"/>
  <c r="U15"/>
  <c r="T15"/>
  <c r="O15"/>
  <c r="P15"/>
  <c r="N15"/>
  <c r="S155"/>
  <c r="R155"/>
  <c r="Q155"/>
  <c r="R136"/>
  <c r="Q136"/>
  <c r="S136"/>
  <c r="Q135"/>
  <c r="S135"/>
  <c r="R135"/>
  <c r="Q137"/>
  <c r="S137"/>
  <c r="R137"/>
  <c r="R142"/>
  <c r="Q142"/>
  <c r="S142"/>
  <c r="R15"/>
  <c r="Q15"/>
  <c r="S15"/>
  <c r="R109"/>
  <c r="Q109"/>
  <c r="S109"/>
  <c r="S202"/>
  <c r="R202"/>
  <c r="Q202"/>
  <c r="R208"/>
  <c r="S208"/>
  <c r="Q208"/>
  <c r="Q204"/>
  <c r="S204"/>
  <c r="R204"/>
  <c r="S94"/>
  <c r="R94"/>
  <c r="Q94"/>
  <c r="Q152"/>
  <c r="S152"/>
  <c r="R152"/>
  <c r="S151"/>
  <c r="R151"/>
  <c r="Q151"/>
  <c r="R206"/>
  <c r="Q206"/>
  <c r="S206"/>
  <c r="Q200"/>
  <c r="S200"/>
  <c r="R200"/>
  <c r="S95"/>
  <c r="R95"/>
  <c r="Q95"/>
  <c r="R153"/>
  <c r="Q153"/>
  <c r="S153"/>
  <c r="S154"/>
  <c r="R154"/>
  <c r="Q154"/>
  <c r="R201"/>
  <c r="Q201"/>
  <c r="S201"/>
  <c r="S191"/>
  <c r="R191"/>
  <c r="Q191"/>
  <c r="S207"/>
  <c r="Q207"/>
  <c r="R207"/>
  <c r="S205"/>
  <c r="R205"/>
  <c r="Q205"/>
  <c r="S203"/>
  <c r="R203"/>
  <c r="Q203"/>
  <c r="Q236"/>
  <c r="S236"/>
  <c r="R236"/>
  <c r="R235"/>
  <c r="S235"/>
  <c r="Q235"/>
  <c r="S234"/>
  <c r="Q234"/>
  <c r="R234"/>
  <c r="R233"/>
  <c r="Q233"/>
  <c r="S233"/>
  <c r="Q232"/>
  <c r="S232"/>
  <c r="R232"/>
  <c r="R231"/>
  <c r="S231"/>
  <c r="Q231"/>
  <c r="S230"/>
  <c r="Q230"/>
  <c r="R230"/>
  <c r="R229"/>
  <c r="Q229"/>
  <c r="S229"/>
  <c r="Q228"/>
  <c r="S228"/>
  <c r="R228"/>
  <c r="R227"/>
  <c r="S227"/>
  <c r="Q227"/>
  <c r="S226"/>
  <c r="Q226"/>
  <c r="R226"/>
  <c r="R225"/>
  <c r="Q225"/>
  <c r="S225"/>
  <c r="Q224"/>
  <c r="S224"/>
  <c r="R224"/>
  <c r="R223"/>
  <c r="S223"/>
  <c r="Q223"/>
  <c r="S222"/>
  <c r="Q222"/>
  <c r="R222"/>
  <c r="R221"/>
  <c r="Q221"/>
  <c r="S221"/>
  <c r="Q220"/>
  <c r="S220"/>
  <c r="R220"/>
  <c r="R219"/>
  <c r="S219"/>
  <c r="Q219"/>
  <c r="S218"/>
  <c r="Q218"/>
  <c r="R218"/>
  <c r="R217"/>
  <c r="Q217"/>
  <c r="S217"/>
  <c r="Q216"/>
  <c r="S216"/>
  <c r="R216"/>
  <c r="R215"/>
  <c r="S215"/>
  <c r="Q2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C4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C51"/>
  <c r="A51" s="1"/>
  <c r="E51"/>
  <c r="H51"/>
  <c r="B52"/>
  <c r="D52"/>
  <c r="G52"/>
  <c r="B53"/>
  <c r="D53"/>
  <c r="G53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B51"/>
  <c r="D51"/>
  <c r="G51"/>
  <c r="C52"/>
  <c r="A52" s="1"/>
  <c r="E52"/>
  <c r="H52"/>
  <c r="C53"/>
  <c r="A53" s="1"/>
  <c r="E53"/>
  <c r="H53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B33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J14" l="1"/>
  <c r="I14"/>
  <c r="I15" l="1"/>
  <c r="J15"/>
  <c r="C12" i="34"/>
  <c r="C10"/>
  <c r="C13"/>
  <c r="C14"/>
  <c r="C42"/>
  <c r="C41"/>
  <c r="C43"/>
  <c r="C44"/>
  <c r="C45"/>
  <c r="C46"/>
  <c r="C47"/>
  <c r="C48"/>
  <c r="C49"/>
  <c r="C50"/>
  <c r="C51"/>
  <c r="C52"/>
  <c r="C53"/>
  <c r="C54"/>
  <c r="C55"/>
  <c r="C56"/>
  <c r="C57"/>
  <c r="C58"/>
  <c r="C83"/>
  <c r="C85"/>
  <c r="C84"/>
  <c r="C92"/>
  <c r="C93"/>
  <c r="C86"/>
  <c r="C87"/>
  <c r="C88"/>
  <c r="C89"/>
  <c r="C90"/>
  <c r="C91"/>
  <c r="C99"/>
  <c r="C101"/>
  <c r="C97"/>
  <c r="C100"/>
  <c r="C102"/>
  <c r="C105"/>
  <c r="C108"/>
  <c r="C104"/>
  <c r="C107"/>
  <c r="C112"/>
  <c r="C111"/>
  <c r="C113"/>
  <c r="C144"/>
  <c r="C132"/>
  <c r="C133"/>
  <c r="C134"/>
  <c r="C143"/>
  <c r="C145"/>
  <c r="C146"/>
  <c r="C147"/>
  <c r="C148"/>
  <c r="C149"/>
  <c r="C150"/>
  <c r="C138"/>
  <c r="C139"/>
  <c r="C140"/>
  <c r="C141"/>
  <c r="C190"/>
  <c r="C188"/>
  <c r="C189"/>
  <c r="C186"/>
  <c r="C187"/>
  <c r="C156"/>
  <c r="C157"/>
  <c r="C158"/>
  <c r="C181"/>
  <c r="C182"/>
  <c r="C183"/>
  <c r="C184"/>
  <c r="C185"/>
  <c r="C192"/>
  <c r="C193"/>
  <c r="C194"/>
  <c r="C195"/>
  <c r="C196"/>
  <c r="C197"/>
  <c r="C198"/>
  <c r="C199"/>
  <c r="C11"/>
  <c r="B12"/>
  <c r="A12" s="1"/>
  <c r="B10"/>
  <c r="A10" s="1"/>
  <c r="B13"/>
  <c r="A13" s="1"/>
  <c r="B14"/>
  <c r="A14" s="1"/>
  <c r="B42"/>
  <c r="A42" s="1"/>
  <c r="B41"/>
  <c r="A41" s="1"/>
  <c r="B43"/>
  <c r="A43" s="1"/>
  <c r="B44"/>
  <c r="A44" s="1"/>
  <c r="B45"/>
  <c r="A45" s="1"/>
  <c r="B46"/>
  <c r="A46" s="1"/>
  <c r="B47"/>
  <c r="A47" s="1"/>
  <c r="B48"/>
  <c r="A48" s="1"/>
  <c r="B49"/>
  <c r="A49" s="1"/>
  <c r="B50"/>
  <c r="A50" s="1"/>
  <c r="B51"/>
  <c r="A51" s="1"/>
  <c r="B52"/>
  <c r="A52" s="1"/>
  <c r="B53"/>
  <c r="A53" s="1"/>
  <c r="B54"/>
  <c r="A54" s="1"/>
  <c r="B55"/>
  <c r="A55" s="1"/>
  <c r="B56"/>
  <c r="A56" s="1"/>
  <c r="B57"/>
  <c r="A57" s="1"/>
  <c r="B58"/>
  <c r="A58" s="1"/>
  <c r="B83"/>
  <c r="A83" s="1"/>
  <c r="B85"/>
  <c r="A85" s="1"/>
  <c r="B84"/>
  <c r="A84" s="1"/>
  <c r="B92"/>
  <c r="A92" s="1"/>
  <c r="B93"/>
  <c r="A93" s="1"/>
  <c r="B86"/>
  <c r="A86" s="1"/>
  <c r="B87"/>
  <c r="A87" s="1"/>
  <c r="B88"/>
  <c r="A88" s="1"/>
  <c r="B89"/>
  <c r="A89" s="1"/>
  <c r="B90"/>
  <c r="A90" s="1"/>
  <c r="B91"/>
  <c r="A91" s="1"/>
  <c r="B99"/>
  <c r="A99" s="1"/>
  <c r="B101"/>
  <c r="A101" s="1"/>
  <c r="B97"/>
  <c r="A97" s="1"/>
  <c r="B100"/>
  <c r="A100" s="1"/>
  <c r="B102"/>
  <c r="A102" s="1"/>
  <c r="B105"/>
  <c r="A105" s="1"/>
  <c r="B108"/>
  <c r="A108" s="1"/>
  <c r="B104"/>
  <c r="A104" s="1"/>
  <c r="B107"/>
  <c r="A107" s="1"/>
  <c r="B112"/>
  <c r="A112" s="1"/>
  <c r="B111"/>
  <c r="A111" s="1"/>
  <c r="B113"/>
  <c r="A113" s="1"/>
  <c r="B144"/>
  <c r="A144" s="1"/>
  <c r="B132"/>
  <c r="A132" s="1"/>
  <c r="B133"/>
  <c r="A133" s="1"/>
  <c r="B134"/>
  <c r="A134" s="1"/>
  <c r="B143"/>
  <c r="A143" s="1"/>
  <c r="B145"/>
  <c r="A145" s="1"/>
  <c r="B146"/>
  <c r="A146" s="1"/>
  <c r="B147"/>
  <c r="A147" s="1"/>
  <c r="B148"/>
  <c r="A148" s="1"/>
  <c r="B149"/>
  <c r="A149" s="1"/>
  <c r="B150"/>
  <c r="A150" s="1"/>
  <c r="B138"/>
  <c r="A138" s="1"/>
  <c r="B139"/>
  <c r="A139" s="1"/>
  <c r="B140"/>
  <c r="A140" s="1"/>
  <c r="B141"/>
  <c r="A141" s="1"/>
  <c r="B190"/>
  <c r="A190" s="1"/>
  <c r="B188"/>
  <c r="A188" s="1"/>
  <c r="B189"/>
  <c r="A189" s="1"/>
  <c r="B186"/>
  <c r="A186" s="1"/>
  <c r="B187"/>
  <c r="A187" s="1"/>
  <c r="B156"/>
  <c r="A156" s="1"/>
  <c r="B157"/>
  <c r="A157" s="1"/>
  <c r="B158"/>
  <c r="A158" s="1"/>
  <c r="B181"/>
  <c r="A181" s="1"/>
  <c r="B182"/>
  <c r="A182" s="1"/>
  <c r="B183"/>
  <c r="A183" s="1"/>
  <c r="B184"/>
  <c r="A184" s="1"/>
  <c r="B185"/>
  <c r="A185" s="1"/>
  <c r="B192"/>
  <c r="A192" s="1"/>
  <c r="B193"/>
  <c r="A193" s="1"/>
  <c r="B194"/>
  <c r="A194" s="1"/>
  <c r="B195"/>
  <c r="A195" s="1"/>
  <c r="B196"/>
  <c r="A196" s="1"/>
  <c r="B197"/>
  <c r="A197" s="1"/>
  <c r="B198"/>
  <c r="A198" s="1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V199" i="34" l="1"/>
  <c r="U199"/>
  <c r="T199"/>
  <c r="P199"/>
  <c r="O199"/>
  <c r="N199"/>
  <c r="U197"/>
  <c r="T197"/>
  <c r="V197"/>
  <c r="N197"/>
  <c r="P197"/>
  <c r="O197"/>
  <c r="V195"/>
  <c r="U195"/>
  <c r="T195"/>
  <c r="P195"/>
  <c r="O195"/>
  <c r="N195"/>
  <c r="U193"/>
  <c r="T193"/>
  <c r="V193"/>
  <c r="N193"/>
  <c r="P193"/>
  <c r="O193"/>
  <c r="U185"/>
  <c r="T185"/>
  <c r="V185"/>
  <c r="N185"/>
  <c r="P185"/>
  <c r="O185"/>
  <c r="V183"/>
  <c r="U183"/>
  <c r="T183"/>
  <c r="P183"/>
  <c r="O183"/>
  <c r="N183"/>
  <c r="U181"/>
  <c r="T181"/>
  <c r="V181"/>
  <c r="N181"/>
  <c r="P181"/>
  <c r="O181"/>
  <c r="U157"/>
  <c r="T157"/>
  <c r="V157"/>
  <c r="N157"/>
  <c r="P157"/>
  <c r="O157"/>
  <c r="V187"/>
  <c r="U187"/>
  <c r="T187"/>
  <c r="P187"/>
  <c r="O187"/>
  <c r="N187"/>
  <c r="U189"/>
  <c r="T189"/>
  <c r="V189"/>
  <c r="N189"/>
  <c r="P189"/>
  <c r="O189"/>
  <c r="V190"/>
  <c r="U190"/>
  <c r="T190"/>
  <c r="O190"/>
  <c r="N190"/>
  <c r="P190"/>
  <c r="V140"/>
  <c r="T140"/>
  <c r="U140"/>
  <c r="P140"/>
  <c r="O140"/>
  <c r="N140"/>
  <c r="T138"/>
  <c r="U138"/>
  <c r="V138"/>
  <c r="O138"/>
  <c r="N138"/>
  <c r="P138"/>
  <c r="U149"/>
  <c r="T149"/>
  <c r="V149"/>
  <c r="N149"/>
  <c r="P149"/>
  <c r="O149"/>
  <c r="V147"/>
  <c r="U147"/>
  <c r="T147"/>
  <c r="P147"/>
  <c r="O147"/>
  <c r="N147"/>
  <c r="U145"/>
  <c r="V145"/>
  <c r="T145"/>
  <c r="N145"/>
  <c r="P145"/>
  <c r="O145"/>
  <c r="T134"/>
  <c r="V134"/>
  <c r="U134"/>
  <c r="O134"/>
  <c r="N134"/>
  <c r="P134"/>
  <c r="V132"/>
  <c r="T132"/>
  <c r="U132"/>
  <c r="O132"/>
  <c r="P132"/>
  <c r="N132"/>
  <c r="U113"/>
  <c r="V113"/>
  <c r="T113"/>
  <c r="P113"/>
  <c r="N113"/>
  <c r="O113"/>
  <c r="V112"/>
  <c r="U112"/>
  <c r="T112"/>
  <c r="O112"/>
  <c r="P112"/>
  <c r="N112"/>
  <c r="V104"/>
  <c r="U104"/>
  <c r="T104"/>
  <c r="O104"/>
  <c r="P104"/>
  <c r="N104"/>
  <c r="U105"/>
  <c r="V105"/>
  <c r="T105"/>
  <c r="P105"/>
  <c r="N105"/>
  <c r="O105"/>
  <c r="V100"/>
  <c r="T100"/>
  <c r="U100"/>
  <c r="O100"/>
  <c r="P100"/>
  <c r="N100"/>
  <c r="V101"/>
  <c r="T101"/>
  <c r="U101"/>
  <c r="P101"/>
  <c r="N101"/>
  <c r="O101"/>
  <c r="U91"/>
  <c r="T91"/>
  <c r="V91"/>
  <c r="N91"/>
  <c r="P91"/>
  <c r="O91"/>
  <c r="U89"/>
  <c r="V89"/>
  <c r="T89"/>
  <c r="P89"/>
  <c r="N89"/>
  <c r="O89"/>
  <c r="U87"/>
  <c r="V87"/>
  <c r="T87"/>
  <c r="N87"/>
  <c r="P87"/>
  <c r="O87"/>
  <c r="V93"/>
  <c r="T93"/>
  <c r="U93"/>
  <c r="P93"/>
  <c r="N93"/>
  <c r="O93"/>
  <c r="V84"/>
  <c r="T84"/>
  <c r="U84"/>
  <c r="O84"/>
  <c r="P84"/>
  <c r="N84"/>
  <c r="U83"/>
  <c r="T83"/>
  <c r="V83"/>
  <c r="N83"/>
  <c r="P83"/>
  <c r="O83"/>
  <c r="U57"/>
  <c r="V57"/>
  <c r="T57"/>
  <c r="P57"/>
  <c r="N57"/>
  <c r="O57"/>
  <c r="U55"/>
  <c r="V55"/>
  <c r="T55"/>
  <c r="N55"/>
  <c r="P55"/>
  <c r="O55"/>
  <c r="V53"/>
  <c r="T53"/>
  <c r="U53"/>
  <c r="P53"/>
  <c r="N53"/>
  <c r="O53"/>
  <c r="U51"/>
  <c r="T51"/>
  <c r="V51"/>
  <c r="N51"/>
  <c r="P51"/>
  <c r="O51"/>
  <c r="U49"/>
  <c r="V49"/>
  <c r="T49"/>
  <c r="P49"/>
  <c r="N49"/>
  <c r="O49"/>
  <c r="U47"/>
  <c r="V47"/>
  <c r="T47"/>
  <c r="N47"/>
  <c r="P47"/>
  <c r="O47"/>
  <c r="V45"/>
  <c r="T45"/>
  <c r="U45"/>
  <c r="P45"/>
  <c r="N45"/>
  <c r="O45"/>
  <c r="U43"/>
  <c r="T43"/>
  <c r="V43"/>
  <c r="N43"/>
  <c r="P43"/>
  <c r="O43"/>
  <c r="T42"/>
  <c r="U42"/>
  <c r="V42"/>
  <c r="O42"/>
  <c r="N42"/>
  <c r="P42"/>
  <c r="T13"/>
  <c r="V13"/>
  <c r="U13"/>
  <c r="O13"/>
  <c r="N13"/>
  <c r="P13"/>
  <c r="V12"/>
  <c r="T12"/>
  <c r="U12"/>
  <c r="P12"/>
  <c r="N12"/>
  <c r="O12"/>
  <c r="V11"/>
  <c r="T11"/>
  <c r="U11"/>
  <c r="O11"/>
  <c r="P11"/>
  <c r="N11"/>
  <c r="V198"/>
  <c r="U198"/>
  <c r="T198"/>
  <c r="O198"/>
  <c r="N198"/>
  <c r="P198"/>
  <c r="T196"/>
  <c r="V196"/>
  <c r="U196"/>
  <c r="P196"/>
  <c r="O196"/>
  <c r="N196"/>
  <c r="V194"/>
  <c r="U194"/>
  <c r="T194"/>
  <c r="O194"/>
  <c r="N194"/>
  <c r="P194"/>
  <c r="T192"/>
  <c r="V192"/>
  <c r="U192"/>
  <c r="P192"/>
  <c r="O192"/>
  <c r="N192"/>
  <c r="T184"/>
  <c r="V184"/>
  <c r="U184"/>
  <c r="P184"/>
  <c r="O184"/>
  <c r="N184"/>
  <c r="V182"/>
  <c r="U182"/>
  <c r="T182"/>
  <c r="O182"/>
  <c r="N182"/>
  <c r="P182"/>
  <c r="V158"/>
  <c r="U158"/>
  <c r="T158"/>
  <c r="O158"/>
  <c r="N158"/>
  <c r="P158"/>
  <c r="T156"/>
  <c r="V156"/>
  <c r="U156"/>
  <c r="P156"/>
  <c r="O156"/>
  <c r="N156"/>
  <c r="V186"/>
  <c r="U186"/>
  <c r="T186"/>
  <c r="O186"/>
  <c r="N186"/>
  <c r="P186"/>
  <c r="T188"/>
  <c r="V188"/>
  <c r="U188"/>
  <c r="P188"/>
  <c r="O188"/>
  <c r="N188"/>
  <c r="V141"/>
  <c r="T141"/>
  <c r="U141"/>
  <c r="N141"/>
  <c r="P141"/>
  <c r="O141"/>
  <c r="U139"/>
  <c r="T139"/>
  <c r="V139"/>
  <c r="P139"/>
  <c r="O139"/>
  <c r="N139"/>
  <c r="V150"/>
  <c r="U150"/>
  <c r="T150"/>
  <c r="O150"/>
  <c r="N150"/>
  <c r="P150"/>
  <c r="T148"/>
  <c r="V148"/>
  <c r="U148"/>
  <c r="P148"/>
  <c r="O148"/>
  <c r="N148"/>
  <c r="T146"/>
  <c r="V146"/>
  <c r="U146"/>
  <c r="O146"/>
  <c r="N146"/>
  <c r="P146"/>
  <c r="U143"/>
  <c r="V143"/>
  <c r="T143"/>
  <c r="P143"/>
  <c r="O143"/>
  <c r="N143"/>
  <c r="V133"/>
  <c r="T133"/>
  <c r="U133"/>
  <c r="P133"/>
  <c r="N133"/>
  <c r="O133"/>
  <c r="V144"/>
  <c r="U144"/>
  <c r="T144"/>
  <c r="P144"/>
  <c r="O144"/>
  <c r="N144"/>
  <c r="U111"/>
  <c r="V111"/>
  <c r="T111"/>
  <c r="N111"/>
  <c r="P111"/>
  <c r="O111"/>
  <c r="U107"/>
  <c r="T107"/>
  <c r="V107"/>
  <c r="N107"/>
  <c r="P107"/>
  <c r="O107"/>
  <c r="V108"/>
  <c r="T108"/>
  <c r="U108"/>
  <c r="O108"/>
  <c r="P108"/>
  <c r="N108"/>
  <c r="T102"/>
  <c r="V102"/>
  <c r="U102"/>
  <c r="O102"/>
  <c r="N102"/>
  <c r="P102"/>
  <c r="U97"/>
  <c r="V97"/>
  <c r="T97"/>
  <c r="P97"/>
  <c r="N97"/>
  <c r="O97"/>
  <c r="U99"/>
  <c r="T99"/>
  <c r="V99"/>
  <c r="N99"/>
  <c r="P99"/>
  <c r="O99"/>
  <c r="T90"/>
  <c r="U90"/>
  <c r="V90"/>
  <c r="O90"/>
  <c r="N90"/>
  <c r="P90"/>
  <c r="V88"/>
  <c r="U88"/>
  <c r="T88"/>
  <c r="O88"/>
  <c r="P88"/>
  <c r="N88"/>
  <c r="T86"/>
  <c r="V86"/>
  <c r="U86"/>
  <c r="O86"/>
  <c r="N86"/>
  <c r="P86"/>
  <c r="V92"/>
  <c r="T92"/>
  <c r="U92"/>
  <c r="O92"/>
  <c r="P92"/>
  <c r="N92"/>
  <c r="V85"/>
  <c r="T85"/>
  <c r="U85"/>
  <c r="P85"/>
  <c r="N85"/>
  <c r="O85"/>
  <c r="T58"/>
  <c r="U58"/>
  <c r="V58"/>
  <c r="O58"/>
  <c r="N58"/>
  <c r="P58"/>
  <c r="V56"/>
  <c r="U56"/>
  <c r="T56"/>
  <c r="O56"/>
  <c r="P56"/>
  <c r="N56"/>
  <c r="T54"/>
  <c r="V54"/>
  <c r="U54"/>
  <c r="O54"/>
  <c r="N54"/>
  <c r="P54"/>
  <c r="V52"/>
  <c r="T52"/>
  <c r="U52"/>
  <c r="O52"/>
  <c r="P52"/>
  <c r="N52"/>
  <c r="T50"/>
  <c r="U50"/>
  <c r="V50"/>
  <c r="O50"/>
  <c r="N50"/>
  <c r="P50"/>
  <c r="V48"/>
  <c r="U48"/>
  <c r="T48"/>
  <c r="O48"/>
  <c r="P48"/>
  <c r="N48"/>
  <c r="T46"/>
  <c r="V46"/>
  <c r="U46"/>
  <c r="O46"/>
  <c r="N46"/>
  <c r="P46"/>
  <c r="V44"/>
  <c r="T44"/>
  <c r="U44"/>
  <c r="O44"/>
  <c r="P44"/>
  <c r="N44"/>
  <c r="U41"/>
  <c r="V41"/>
  <c r="T41"/>
  <c r="P41"/>
  <c r="N41"/>
  <c r="O41"/>
  <c r="U14"/>
  <c r="V14"/>
  <c r="T14"/>
  <c r="N14"/>
  <c r="P14"/>
  <c r="O14"/>
  <c r="T10"/>
  <c r="U10"/>
  <c r="N10"/>
  <c r="V10"/>
  <c r="P10"/>
  <c r="O10"/>
  <c r="S181"/>
  <c r="R181"/>
  <c r="Q181"/>
  <c r="S157"/>
  <c r="R157"/>
  <c r="Q157"/>
  <c r="Q158"/>
  <c r="R158"/>
  <c r="S158"/>
  <c r="Q156"/>
  <c r="R156"/>
  <c r="S156"/>
  <c r="R140"/>
  <c r="Q140"/>
  <c r="S140"/>
  <c r="R138"/>
  <c r="Q138"/>
  <c r="S138"/>
  <c r="Q147"/>
  <c r="S147"/>
  <c r="R147"/>
  <c r="Q145"/>
  <c r="S145"/>
  <c r="R145"/>
  <c r="R134"/>
  <c r="Q134"/>
  <c r="S134"/>
  <c r="R132"/>
  <c r="Q132"/>
  <c r="S132"/>
  <c r="Q113"/>
  <c r="S113"/>
  <c r="R113"/>
  <c r="R112"/>
  <c r="Q112"/>
  <c r="S112"/>
  <c r="Q141"/>
  <c r="S141"/>
  <c r="R141"/>
  <c r="Q139"/>
  <c r="S139"/>
  <c r="R139"/>
  <c r="R146"/>
  <c r="Q146"/>
  <c r="S146"/>
  <c r="Q143"/>
  <c r="S143"/>
  <c r="R143"/>
  <c r="Q133"/>
  <c r="S133"/>
  <c r="R133"/>
  <c r="R144"/>
  <c r="Q144"/>
  <c r="S144"/>
  <c r="Q84"/>
  <c r="R84"/>
  <c r="S84"/>
  <c r="R83"/>
  <c r="Q83"/>
  <c r="S83"/>
  <c r="R85"/>
  <c r="Q85"/>
  <c r="S85"/>
  <c r="S58"/>
  <c r="Q58"/>
  <c r="R58"/>
  <c r="Q49"/>
  <c r="S49"/>
  <c r="R49"/>
  <c r="Q47"/>
  <c r="S47"/>
  <c r="R47"/>
  <c r="Q45"/>
  <c r="S45"/>
  <c r="R45"/>
  <c r="Q43"/>
  <c r="S43"/>
  <c r="R43"/>
  <c r="R42"/>
  <c r="Q42"/>
  <c r="S42"/>
  <c r="R48"/>
  <c r="Q48"/>
  <c r="S48"/>
  <c r="R46"/>
  <c r="Q46"/>
  <c r="S46"/>
  <c r="R44"/>
  <c r="Q44"/>
  <c r="S44"/>
  <c r="Q41"/>
  <c r="S41"/>
  <c r="R41"/>
  <c r="S199"/>
  <c r="R199"/>
  <c r="Q199"/>
  <c r="R197"/>
  <c r="Q197"/>
  <c r="S197"/>
  <c r="S195"/>
  <c r="R195"/>
  <c r="Q195"/>
  <c r="R193"/>
  <c r="Q193"/>
  <c r="S193"/>
  <c r="R185"/>
  <c r="Q185"/>
  <c r="S185"/>
  <c r="S183"/>
  <c r="R183"/>
  <c r="Q183"/>
  <c r="S187"/>
  <c r="R187"/>
  <c r="Q187"/>
  <c r="R189"/>
  <c r="Q189"/>
  <c r="S189"/>
  <c r="S190"/>
  <c r="R190"/>
  <c r="Q190"/>
  <c r="R149"/>
  <c r="Q149"/>
  <c r="S149"/>
  <c r="S111"/>
  <c r="R111"/>
  <c r="Q111"/>
  <c r="S107"/>
  <c r="R107"/>
  <c r="Q107"/>
  <c r="Q108"/>
  <c r="S108"/>
  <c r="R108"/>
  <c r="S102"/>
  <c r="R102"/>
  <c r="Q102"/>
  <c r="R97"/>
  <c r="Q97"/>
  <c r="S97"/>
  <c r="S99"/>
  <c r="R99"/>
  <c r="Q99"/>
  <c r="S90"/>
  <c r="R90"/>
  <c r="Q90"/>
  <c r="Q88"/>
  <c r="S88"/>
  <c r="R88"/>
  <c r="S86"/>
  <c r="R86"/>
  <c r="Q86"/>
  <c r="Q92"/>
  <c r="S92"/>
  <c r="R92"/>
  <c r="R57"/>
  <c r="Q57"/>
  <c r="S57"/>
  <c r="S55"/>
  <c r="R55"/>
  <c r="Q55"/>
  <c r="R53"/>
  <c r="Q53"/>
  <c r="S53"/>
  <c r="S51"/>
  <c r="R51"/>
  <c r="Q51"/>
  <c r="S13"/>
  <c r="R13"/>
  <c r="Q13"/>
  <c r="R12"/>
  <c r="Q12"/>
  <c r="S12"/>
  <c r="Q11"/>
  <c r="S11"/>
  <c r="R11"/>
  <c r="S198"/>
  <c r="R198"/>
  <c r="Q198"/>
  <c r="Q196"/>
  <c r="S196"/>
  <c r="R196"/>
  <c r="S194"/>
  <c r="R194"/>
  <c r="Q194"/>
  <c r="Q192"/>
  <c r="S192"/>
  <c r="R192"/>
  <c r="Q184"/>
  <c r="S184"/>
  <c r="R184"/>
  <c r="S182"/>
  <c r="R182"/>
  <c r="Q182"/>
  <c r="S186"/>
  <c r="R186"/>
  <c r="Q186"/>
  <c r="Q188"/>
  <c r="S188"/>
  <c r="R188"/>
  <c r="S150"/>
  <c r="R150"/>
  <c r="Q150"/>
  <c r="Q148"/>
  <c r="S148"/>
  <c r="R148"/>
  <c r="Q104"/>
  <c r="S104"/>
  <c r="R104"/>
  <c r="R105"/>
  <c r="Q105"/>
  <c r="S105"/>
  <c r="Q100"/>
  <c r="S100"/>
  <c r="R100"/>
  <c r="R101"/>
  <c r="Q101"/>
  <c r="S101"/>
  <c r="S91"/>
  <c r="R91"/>
  <c r="Q91"/>
  <c r="R89"/>
  <c r="Q89"/>
  <c r="S89"/>
  <c r="S87"/>
  <c r="R87"/>
  <c r="Q87"/>
  <c r="R93"/>
  <c r="Q93"/>
  <c r="S93"/>
  <c r="Q56"/>
  <c r="S56"/>
  <c r="R56"/>
  <c r="S54"/>
  <c r="R54"/>
  <c r="Q54"/>
  <c r="Q52"/>
  <c r="S52"/>
  <c r="R52"/>
  <c r="S50"/>
  <c r="R50"/>
  <c r="Q50"/>
  <c r="S14"/>
  <c r="R14"/>
  <c r="Q14"/>
  <c r="R10"/>
  <c r="S10"/>
  <c r="Q10"/>
  <c r="I16" i="14"/>
  <c r="J16"/>
  <c r="C118" i="34" l="1"/>
  <c r="B118"/>
  <c r="A118" s="1"/>
  <c r="C121"/>
  <c r="B121"/>
  <c r="A121" s="1"/>
  <c r="C65"/>
  <c r="B65"/>
  <c r="A65" s="1"/>
  <c r="C68"/>
  <c r="B68"/>
  <c r="A68" s="1"/>
  <c r="C81"/>
  <c r="B81"/>
  <c r="A81" s="1"/>
  <c r="C69"/>
  <c r="B69"/>
  <c r="A69" s="1"/>
  <c r="C74"/>
  <c r="B74"/>
  <c r="A74" s="1"/>
  <c r="B37"/>
  <c r="A37" s="1"/>
  <c r="C37"/>
  <c r="B34"/>
  <c r="A34" s="1"/>
  <c r="C34"/>
  <c r="I17" i="14"/>
  <c r="J17"/>
  <c r="C17" i="34"/>
  <c r="B17"/>
  <c r="A17" s="1"/>
  <c r="C98"/>
  <c r="B98"/>
  <c r="A98" s="1"/>
  <c r="C106"/>
  <c r="B106"/>
  <c r="A106" s="1"/>
  <c r="C110"/>
  <c r="B110"/>
  <c r="A110" s="1"/>
  <c r="C40"/>
  <c r="B40"/>
  <c r="A40" s="1"/>
  <c r="C96"/>
  <c r="B96"/>
  <c r="A96" s="1"/>
  <c r="C103"/>
  <c r="B103"/>
  <c r="A103" s="1"/>
  <c r="C114"/>
  <c r="B114"/>
  <c r="A114" s="1"/>
  <c r="T34" l="1"/>
  <c r="U34"/>
  <c r="V34"/>
  <c r="O34"/>
  <c r="N34"/>
  <c r="P34"/>
  <c r="V37"/>
  <c r="T37"/>
  <c r="U37"/>
  <c r="P37"/>
  <c r="N37"/>
  <c r="O37"/>
  <c r="T114"/>
  <c r="U114"/>
  <c r="V114"/>
  <c r="O114"/>
  <c r="N114"/>
  <c r="P114"/>
  <c r="U103"/>
  <c r="V103"/>
  <c r="T103"/>
  <c r="N103"/>
  <c r="P103"/>
  <c r="O103"/>
  <c r="V96"/>
  <c r="U96"/>
  <c r="T96"/>
  <c r="O96"/>
  <c r="P96"/>
  <c r="N96"/>
  <c r="V40"/>
  <c r="U40"/>
  <c r="T40"/>
  <c r="O40"/>
  <c r="P40"/>
  <c r="N40"/>
  <c r="T110"/>
  <c r="V110"/>
  <c r="U110"/>
  <c r="O110"/>
  <c r="N110"/>
  <c r="P110"/>
  <c r="T106"/>
  <c r="U106"/>
  <c r="V106"/>
  <c r="O106"/>
  <c r="N106"/>
  <c r="P106"/>
  <c r="T98"/>
  <c r="U98"/>
  <c r="V98"/>
  <c r="O98"/>
  <c r="N98"/>
  <c r="P98"/>
  <c r="U17"/>
  <c r="V17"/>
  <c r="T17"/>
  <c r="P17"/>
  <c r="N17"/>
  <c r="O17"/>
  <c r="T74"/>
  <c r="U74"/>
  <c r="V74"/>
  <c r="O74"/>
  <c r="N74"/>
  <c r="P74"/>
  <c r="V69"/>
  <c r="T69"/>
  <c r="U69"/>
  <c r="P69"/>
  <c r="N69"/>
  <c r="O69"/>
  <c r="U81"/>
  <c r="V81"/>
  <c r="T81"/>
  <c r="P81"/>
  <c r="N81"/>
  <c r="O81"/>
  <c r="V68"/>
  <c r="T68"/>
  <c r="U68"/>
  <c r="O68"/>
  <c r="P68"/>
  <c r="N68"/>
  <c r="U65"/>
  <c r="V65"/>
  <c r="T65"/>
  <c r="P65"/>
  <c r="N65"/>
  <c r="O65"/>
  <c r="U121"/>
  <c r="V121"/>
  <c r="T121"/>
  <c r="P121"/>
  <c r="N121"/>
  <c r="O121"/>
  <c r="T118"/>
  <c r="V118"/>
  <c r="U118"/>
  <c r="O118"/>
  <c r="N118"/>
  <c r="P118"/>
  <c r="R114"/>
  <c r="Q114"/>
  <c r="S114"/>
  <c r="Q121"/>
  <c r="S121"/>
  <c r="R121"/>
  <c r="R118"/>
  <c r="Q118"/>
  <c r="S118"/>
  <c r="S74"/>
  <c r="R74"/>
  <c r="Q74"/>
  <c r="Q69"/>
  <c r="R69"/>
  <c r="S69"/>
  <c r="Q81"/>
  <c r="R81"/>
  <c r="S81"/>
  <c r="S68"/>
  <c r="R68"/>
  <c r="Q68"/>
  <c r="Q65"/>
  <c r="R65"/>
  <c r="S65"/>
  <c r="R40"/>
  <c r="Q40"/>
  <c r="S40"/>
  <c r="Q17"/>
  <c r="S17"/>
  <c r="R17"/>
  <c r="R34"/>
  <c r="Q34"/>
  <c r="S34"/>
  <c r="Q37"/>
  <c r="S37"/>
  <c r="R37"/>
  <c r="S103"/>
  <c r="R103"/>
  <c r="Q103"/>
  <c r="Q96"/>
  <c r="S96"/>
  <c r="R96"/>
  <c r="S110"/>
  <c r="R110"/>
  <c r="Q110"/>
  <c r="S106"/>
  <c r="R106"/>
  <c r="Q106"/>
  <c r="S98"/>
  <c r="R98"/>
  <c r="Q98"/>
  <c r="I18" i="14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54"/>
  <c r="G54"/>
  <c r="C35" i="12"/>
  <c r="D35"/>
  <c r="I20" i="14" l="1"/>
  <c r="J20"/>
  <c r="I55"/>
  <c r="J55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J10" i="34"/>
  <c r="F38" i="15" l="1" a="1"/>
  <c r="F38" s="1"/>
  <c r="G15" i="47"/>
  <c r="F26" i="12" a="1"/>
  <c r="F26" s="1"/>
  <c r="E25" a="1"/>
  <c r="E25" s="1"/>
  <c r="E16" a="1"/>
  <c r="E16" s="1"/>
  <c r="F8" a="1"/>
  <c r="F8" s="1"/>
  <c r="F25" i="15" a="1"/>
  <c r="F25" s="1"/>
  <c r="E21" i="12" a="1"/>
  <c r="E21" s="1"/>
  <c r="E34" i="15" a="1"/>
  <c r="E34" s="1"/>
  <c r="E10" a="1"/>
  <c r="E10" s="1"/>
  <c r="F27" a="1"/>
  <c r="F27" s="1"/>
  <c r="E14" a="1"/>
  <c r="E14" s="1"/>
  <c r="E21" a="1"/>
  <c r="E21" s="1"/>
  <c r="E9" i="12" a="1"/>
  <c r="E9" s="1"/>
  <c r="E29" i="15" a="1"/>
  <c r="E29" s="1"/>
  <c r="E26" i="12" a="1"/>
  <c r="E26" s="1"/>
  <c r="F21" i="15" a="1"/>
  <c r="F21" s="1"/>
  <c r="F12" a="1"/>
  <c r="F12" s="1"/>
  <c r="E40" a="1"/>
  <c r="E40" s="1"/>
  <c r="E25" a="1"/>
  <c r="E25" s="1"/>
  <c r="F9" i="12" a="1"/>
  <c r="F9" s="1"/>
  <c r="I9" s="1"/>
  <c r="E35" i="15" a="1"/>
  <c r="E35" s="1"/>
  <c r="F22" a="1"/>
  <c r="F22" s="1"/>
  <c r="F14" a="1"/>
  <c r="F14" s="1"/>
  <c r="F28" i="12" a="1"/>
  <c r="F28" s="1"/>
  <c r="F27" a="1"/>
  <c r="F27" s="1"/>
  <c r="F11" a="1"/>
  <c r="F11" s="1"/>
  <c r="I11" s="1"/>
  <c r="F6" a="1"/>
  <c r="F6" s="1"/>
  <c r="I6" s="1"/>
  <c r="F24" a="1"/>
  <c r="F24" s="1"/>
  <c r="E17" a="1"/>
  <c r="E17" s="1"/>
  <c r="F12" a="1"/>
  <c r="F12" s="1"/>
  <c r="I12" s="1"/>
  <c r="F29" i="15" a="1"/>
  <c r="F29" s="1"/>
  <c r="E23" i="12" a="1"/>
  <c r="E23" s="1"/>
  <c r="E39" i="15" a="1"/>
  <c r="E39" s="1"/>
  <c r="E7" i="12" a="1"/>
  <c r="E7" s="1"/>
  <c r="F19" a="1"/>
  <c r="F19" s="1"/>
  <c r="I19" s="1"/>
  <c r="F16" a="1"/>
  <c r="F16" s="1"/>
  <c r="E27" i="15" a="1"/>
  <c r="E27" s="1"/>
  <c r="E37" a="1"/>
  <c r="E37" s="1"/>
  <c r="F21" i="12" a="1"/>
  <c r="F21" s="1"/>
  <c r="E30" a="1"/>
  <c r="E30" s="1"/>
  <c r="F23" a="1"/>
  <c r="F23" s="1"/>
  <c r="E38" i="15" a="1"/>
  <c r="E38" s="1"/>
  <c r="I38" s="1"/>
  <c r="F36" a="1"/>
  <c r="F36" s="1"/>
  <c r="F35" a="1"/>
  <c r="F35" s="1"/>
  <c r="F37" a="1"/>
  <c r="F37" s="1"/>
  <c r="G6" i="45" a="1"/>
  <c r="G6" s="1"/>
  <c r="G8" a="1"/>
  <c r="G8" s="1"/>
  <c r="H4" a="1"/>
  <c r="H4" s="1"/>
  <c r="H5" a="1"/>
  <c r="H5" s="1"/>
  <c r="H7" a="1"/>
  <c r="H7" s="1"/>
  <c r="E4" i="12" a="1"/>
  <c r="E4" s="1"/>
  <c r="E18" i="15" a="1"/>
  <c r="E18" s="1"/>
  <c r="F34" i="12" a="1"/>
  <c r="F34" s="1"/>
  <c r="E33" a="1"/>
  <c r="E33" s="1"/>
  <c r="E32" a="1"/>
  <c r="E32" s="1"/>
  <c r="E15" a="1"/>
  <c r="E15" s="1"/>
  <c r="F15" a="1"/>
  <c r="F15" s="1"/>
  <c r="F31" a="1"/>
  <c r="F31" s="1"/>
  <c r="F14" a="1"/>
  <c r="F14" s="1"/>
  <c r="G5" i="45" a="1"/>
  <c r="G5" s="1"/>
  <c r="G7" a="1"/>
  <c r="G7" s="1"/>
  <c r="G4" a="1"/>
  <c r="G4" s="1"/>
  <c r="H6" a="1"/>
  <c r="H6" s="1"/>
  <c r="H8" a="1"/>
  <c r="H8" s="1"/>
  <c r="F4" i="12" a="1"/>
  <c r="F4" s="1"/>
  <c r="I4" s="1"/>
  <c r="F18" i="15" a="1"/>
  <c r="F18" s="1"/>
  <c r="E34" i="12" a="1"/>
  <c r="E34" s="1"/>
  <c r="G34" s="1"/>
  <c r="F33" a="1"/>
  <c r="F33" s="1"/>
  <c r="H33" s="1"/>
  <c r="F32" a="1"/>
  <c r="F32" s="1"/>
  <c r="H32" s="1"/>
  <c r="E20" a="1"/>
  <c r="E20" s="1"/>
  <c r="F20" a="1"/>
  <c r="F20" s="1"/>
  <c r="E31" a="1"/>
  <c r="E31" s="1"/>
  <c r="G31" s="1"/>
  <c r="E14" a="1"/>
  <c r="E14" s="1"/>
  <c r="G14" s="1"/>
  <c r="E11" a="1"/>
  <c r="E11" s="1"/>
  <c r="G11" s="1"/>
  <c r="E12" i="15" a="1"/>
  <c r="E12" s="1"/>
  <c r="F31" a="1"/>
  <c r="F31" s="1"/>
  <c r="E22" a="1"/>
  <c r="E22" s="1"/>
  <c r="F16" a="1"/>
  <c r="F16" s="1"/>
  <c r="F7" i="12" a="1"/>
  <c r="F7" s="1"/>
  <c r="I7" s="1"/>
  <c r="F10" i="15" a="1"/>
  <c r="F10" s="1"/>
  <c r="E20" a="1"/>
  <c r="E20" s="1"/>
  <c r="F22" i="12" a="1"/>
  <c r="F22" s="1"/>
  <c r="F5" a="1"/>
  <c r="F5" s="1"/>
  <c r="E8" a="1"/>
  <c r="E8" s="1"/>
  <c r="F10" a="1"/>
  <c r="F10" s="1"/>
  <c r="F29" a="1"/>
  <c r="F29" s="1"/>
  <c r="E6" a="1"/>
  <c r="E6" s="1"/>
  <c r="H6" s="1"/>
  <c r="F20" i="15" a="1"/>
  <c r="F20" s="1"/>
  <c r="F37" i="12" s="1"/>
  <c r="F17" a="1"/>
  <c r="F17" s="1"/>
  <c r="E10" a="1"/>
  <c r="E10" s="1"/>
  <c r="E5" a="1"/>
  <c r="E5" s="1"/>
  <c r="E22" a="1"/>
  <c r="E22" s="1"/>
  <c r="H22" s="1"/>
  <c r="F18" a="1"/>
  <c r="F18" s="1"/>
  <c r="F30" a="1"/>
  <c r="F30" s="1"/>
  <c r="G30" s="1"/>
  <c r="F25" a="1"/>
  <c r="F25" s="1"/>
  <c r="G25" s="1"/>
  <c r="J25" s="1"/>
  <c r="E12" a="1"/>
  <c r="E12" s="1"/>
  <c r="E27" a="1"/>
  <c r="E27" s="1"/>
  <c r="G27" s="1"/>
  <c r="J27" s="1"/>
  <c r="E13" a="1"/>
  <c r="E13" s="1"/>
  <c r="E29" a="1"/>
  <c r="E29" s="1"/>
  <c r="F13" a="1"/>
  <c r="F13" s="1"/>
  <c r="I13" s="1"/>
  <c r="E31" i="15" a="1"/>
  <c r="E31" s="1"/>
  <c r="E16" a="1"/>
  <c r="E16" s="1"/>
  <c r="E17" s="1"/>
  <c r="E18" i="12" a="1"/>
  <c r="E18" s="1"/>
  <c r="H18" s="1"/>
  <c r="E28" a="1"/>
  <c r="E28" s="1"/>
  <c r="H28" s="1"/>
  <c r="E24" a="1"/>
  <c r="E24" s="1"/>
  <c r="H24" s="1"/>
  <c r="E19" a="1"/>
  <c r="E19" s="1"/>
  <c r="G19" s="1"/>
  <c r="F39" i="15" a="1"/>
  <c r="F39" s="1"/>
  <c r="I39" s="1"/>
  <c r="F34" a="1"/>
  <c r="F34" s="1"/>
  <c r="I34" s="1"/>
  <c r="E36" a="1"/>
  <c r="E36" s="1"/>
  <c r="I36" s="1"/>
  <c r="H8" i="12"/>
  <c r="I8"/>
  <c r="I5"/>
  <c r="I10"/>
  <c r="G21"/>
  <c r="J21" s="1"/>
  <c r="G16"/>
  <c r="J16" s="1"/>
  <c r="J36" i="14"/>
  <c r="I36"/>
  <c r="H7" i="12"/>
  <c r="H17"/>
  <c r="H30"/>
  <c r="E37"/>
  <c r="H27"/>
  <c r="E32" i="15" a="1"/>
  <c r="E32" s="1"/>
  <c r="F32" a="1"/>
  <c r="F32" s="1"/>
  <c r="F33" s="1"/>
  <c r="F40" a="1"/>
  <c r="F40" s="1"/>
  <c r="I40" s="1"/>
  <c r="I35"/>
  <c r="I37"/>
  <c r="H9" i="12"/>
  <c r="G17"/>
  <c r="J17" s="1"/>
  <c r="H12"/>
  <c r="G12" i="15"/>
  <c r="E13"/>
  <c r="H27"/>
  <c r="H28" s="1"/>
  <c r="F28"/>
  <c r="G14"/>
  <c r="G15" s="1"/>
  <c r="E15"/>
  <c r="I21"/>
  <c r="G21"/>
  <c r="G22"/>
  <c r="G23" s="1"/>
  <c r="I22"/>
  <c r="E23"/>
  <c r="E24" s="1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H4" i="12"/>
  <c r="H11"/>
  <c r="G7"/>
  <c r="H16"/>
  <c r="F26" i="15"/>
  <c r="H25"/>
  <c r="H26" s="1"/>
  <c r="E11"/>
  <c r="G10"/>
  <c r="G11" s="1"/>
  <c r="G4" i="12"/>
  <c r="E30" i="15"/>
  <c r="G29"/>
  <c r="H21"/>
  <c r="H12"/>
  <c r="F13"/>
  <c r="I25"/>
  <c r="G25"/>
  <c r="G26" s="1"/>
  <c r="E26"/>
  <c r="G22" i="12"/>
  <c r="J22" s="1"/>
  <c r="G9"/>
  <c r="G26"/>
  <c r="J26" s="1"/>
  <c r="G8"/>
  <c r="G6"/>
  <c r="H20" i="15"/>
  <c r="G5" i="12"/>
  <c r="G12"/>
  <c r="H21"/>
  <c r="H23"/>
  <c r="H13" l="1"/>
  <c r="G28"/>
  <c r="F35"/>
  <c r="F39" s="1"/>
  <c r="H10"/>
  <c r="H5"/>
  <c r="H25"/>
  <c r="G18"/>
  <c r="J18" s="1"/>
  <c r="E33" i="15"/>
  <c r="J8" i="45"/>
  <c r="I5"/>
  <c r="G16" i="15"/>
  <c r="H16"/>
  <c r="H19" i="12"/>
  <c r="G17" i="15"/>
  <c r="E35" i="12"/>
  <c r="G10"/>
  <c r="G20" i="15"/>
  <c r="G31"/>
  <c r="G29" i="12"/>
  <c r="J6" i="45"/>
  <c r="I7"/>
  <c r="G34" i="47"/>
  <c r="H15"/>
  <c r="I15"/>
  <c r="H18" i="15"/>
  <c r="F19"/>
  <c r="I4" i="45"/>
  <c r="G10"/>
  <c r="I14" i="12"/>
  <c r="H14"/>
  <c r="I15"/>
  <c r="H15"/>
  <c r="H10" i="45"/>
  <c r="J4"/>
  <c r="G24" i="12"/>
  <c r="J24" s="1"/>
  <c r="G13"/>
  <c r="H29"/>
  <c r="H31" i="15"/>
  <c r="G20" i="12"/>
  <c r="G32"/>
  <c r="H34"/>
  <c r="J7" i="45"/>
  <c r="I6"/>
  <c r="G23" i="12"/>
  <c r="J23" s="1"/>
  <c r="H26"/>
  <c r="I20"/>
  <c r="H20"/>
  <c r="G18" i="15"/>
  <c r="E19"/>
  <c r="H31" i="12"/>
  <c r="G15"/>
  <c r="G33"/>
  <c r="J5" i="45"/>
  <c r="I8"/>
  <c r="E41" i="15"/>
  <c r="F41"/>
  <c r="I37" i="14"/>
  <c r="J37"/>
  <c r="I26" i="15"/>
  <c r="H32"/>
  <c r="H33" s="1"/>
  <c r="G32"/>
  <c r="G30"/>
  <c r="E39" i="12"/>
  <c r="H13" i="15"/>
  <c r="H24"/>
  <c r="I24"/>
  <c r="H35" i="12"/>
  <c r="H30" i="15"/>
  <c r="H17"/>
  <c r="I23"/>
  <c r="G24"/>
  <c r="G13"/>
  <c r="G35" i="12" l="1"/>
  <c r="G33" i="15"/>
  <c r="G19"/>
  <c r="I16" i="47"/>
  <c r="I35"/>
  <c r="H35"/>
  <c r="H16"/>
  <c r="I10" i="45"/>
  <c r="J10"/>
  <c r="H19" i="15"/>
  <c r="H41" s="1"/>
  <c r="G41"/>
  <c r="J38" i="14"/>
  <c r="I38"/>
  <c r="E43" i="15"/>
  <c r="H17" i="47" l="1"/>
  <c r="I17"/>
  <c r="I39" i="14"/>
  <c r="J39"/>
  <c r="H43" i="15"/>
  <c r="I18" i="47" l="1"/>
  <c r="H18"/>
  <c r="J40" i="14"/>
  <c r="C10" i="39"/>
  <c r="H5"/>
  <c r="M16" s="1"/>
  <c r="C12"/>
  <c r="M8"/>
  <c r="I40" i="14"/>
  <c r="H19" i="47" l="1"/>
  <c r="I19"/>
  <c r="A13" i="44"/>
  <c r="I12" i="42"/>
  <c r="I41" i="14"/>
  <c r="D13" i="39"/>
  <c r="C15"/>
  <c r="M9"/>
  <c r="J41" i="14"/>
  <c r="J42" s="1"/>
  <c r="C14" i="39"/>
  <c r="I20" i="47" l="1"/>
  <c r="H20"/>
  <c r="H21" s="1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D27"/>
  <c r="D31"/>
  <c r="C28"/>
  <c r="C32"/>
  <c r="D34"/>
  <c r="B29"/>
  <c r="B33"/>
  <c r="A30"/>
  <c r="B13"/>
  <c r="B39" s="1"/>
  <c r="C23"/>
  <c r="C19"/>
  <c r="C15"/>
  <c r="D25"/>
  <c r="D21"/>
  <c r="D17"/>
  <c r="A26"/>
  <c r="A21"/>
  <c r="A17"/>
  <c r="C13"/>
  <c r="B23"/>
  <c r="B19"/>
  <c r="B15"/>
  <c r="B14"/>
  <c r="D30"/>
  <c r="C27"/>
  <c r="C31"/>
  <c r="C26"/>
  <c r="B28"/>
  <c r="B32"/>
  <c r="A29"/>
  <c r="A33"/>
  <c r="A25"/>
  <c r="C20"/>
  <c r="C16"/>
  <c r="D26"/>
  <c r="D22"/>
  <c r="D18"/>
  <c r="D14"/>
  <c r="A22"/>
  <c r="A18"/>
  <c r="A14"/>
  <c r="B24"/>
  <c r="B20"/>
  <c r="B16"/>
  <c r="A34"/>
  <c r="D29"/>
  <c r="D33"/>
  <c r="C30"/>
  <c r="C24"/>
  <c r="B27"/>
  <c r="B31"/>
  <c r="A28"/>
  <c r="A32"/>
  <c r="D13"/>
  <c r="C21"/>
  <c r="C17"/>
  <c r="D23"/>
  <c r="D19"/>
  <c r="D15"/>
  <c r="A23"/>
  <c r="A19"/>
  <c r="A15"/>
  <c r="B25"/>
  <c r="B21"/>
  <c r="B17"/>
  <c r="B34"/>
  <c r="D28"/>
  <c r="D32"/>
  <c r="C29"/>
  <c r="C33"/>
  <c r="C34"/>
  <c r="B30"/>
  <c r="A27"/>
  <c r="A31"/>
  <c r="H66" i="43"/>
  <c r="H67"/>
  <c r="H68"/>
  <c r="H69"/>
  <c r="G66"/>
  <c r="G67"/>
  <c r="G68"/>
  <c r="G69"/>
  <c r="F66"/>
  <c r="F67"/>
  <c r="F68"/>
  <c r="F69"/>
  <c r="E66"/>
  <c r="E67"/>
  <c r="E68"/>
  <c r="E69"/>
  <c r="D66"/>
  <c r="D67"/>
  <c r="D68"/>
  <c r="D69"/>
  <c r="C66"/>
  <c r="C67"/>
  <c r="C68"/>
  <c r="C69"/>
  <c r="B66"/>
  <c r="B67"/>
  <c r="B68"/>
  <c r="B69"/>
  <c r="A66"/>
  <c r="A67"/>
  <c r="A68"/>
  <c r="A69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74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A15"/>
  <c r="A19"/>
  <c r="B15"/>
  <c r="D18"/>
  <c r="D14"/>
  <c r="F14"/>
  <c r="C15"/>
  <c r="C17"/>
  <c r="C19"/>
  <c r="D21"/>
  <c r="E14"/>
  <c r="E16"/>
  <c r="E18"/>
  <c r="F20"/>
  <c r="C20"/>
  <c r="B16"/>
  <c r="F13"/>
  <c r="A21"/>
  <c r="H18"/>
  <c r="H16"/>
  <c r="H14"/>
  <c r="F19"/>
  <c r="F15"/>
  <c r="G16"/>
  <c r="H20"/>
  <c r="A14"/>
  <c r="A18"/>
  <c r="B17"/>
  <c r="D19"/>
  <c r="D15"/>
  <c r="F16"/>
  <c r="G15"/>
  <c r="G19"/>
  <c r="A17"/>
  <c r="B21"/>
  <c r="A13"/>
  <c r="A27" s="1"/>
  <c r="B19"/>
  <c r="B14"/>
  <c r="E20"/>
  <c r="D16"/>
  <c r="F18"/>
  <c r="C14"/>
  <c r="C16"/>
  <c r="C18"/>
  <c r="D20"/>
  <c r="E13"/>
  <c r="E15"/>
  <c r="E17"/>
  <c r="E19"/>
  <c r="F21"/>
  <c r="C13"/>
  <c r="B18"/>
  <c r="H19"/>
  <c r="D13"/>
  <c r="A20"/>
  <c r="H17"/>
  <c r="H15"/>
  <c r="G21"/>
  <c r="F17"/>
  <c r="G14"/>
  <c r="G18"/>
  <c r="A16"/>
  <c r="B20"/>
  <c r="B13"/>
  <c r="C21"/>
  <c r="E21"/>
  <c r="D17"/>
  <c r="G20"/>
  <c r="I42" i="14"/>
  <c r="D35" i="44" l="1"/>
  <c r="D36" s="1"/>
  <c r="G23" i="42"/>
  <c r="H23"/>
  <c r="I13"/>
  <c r="I14" s="1"/>
  <c r="I15" s="1"/>
  <c r="I16" s="1"/>
  <c r="I17" s="1"/>
  <c r="I18" s="1"/>
  <c r="I19" s="1"/>
  <c r="I20" s="1"/>
  <c r="I21" s="1"/>
  <c r="E35"/>
  <c r="G71" i="43"/>
  <c r="H7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43" i="14"/>
  <c r="J43"/>
  <c r="I24" i="42" l="1"/>
  <c r="I71" i="43"/>
  <c r="I72" s="1"/>
  <c r="J44" i="14"/>
  <c r="I44"/>
  <c r="I45" l="1"/>
  <c r="J45"/>
  <c r="J46" l="1"/>
  <c r="I46"/>
  <c r="I47" l="1"/>
  <c r="J47"/>
  <c r="J48" l="1"/>
  <c r="I48"/>
  <c r="I49" l="1"/>
  <c r="J49"/>
  <c r="J50" l="1"/>
  <c r="I50"/>
  <c r="I51" l="1"/>
  <c r="J51"/>
  <c r="I52" l="1"/>
  <c r="J52"/>
  <c r="I53" l="1"/>
  <c r="J53"/>
</calcChain>
</file>

<file path=xl/sharedStrings.xml><?xml version="1.0" encoding="utf-8"?>
<sst xmlns="http://schemas.openxmlformats.org/spreadsheetml/2006/main" count="2620" uniqueCount="441">
  <si>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</si>
  <si>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</si>
  <si>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</si>
  <si>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</si>
  <si>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</si>
  <si>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</si>
  <si>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</si>
  <si>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</si>
  <si>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</si>
  <si>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</si>
  <si>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</si>
  <si>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</si>
  <si>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</si>
  <si>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</si>
  <si>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</si>
  <si>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</si>
  <si>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</si>
  <si>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</si>
  <si>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</si>
  <si>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</si>
  <si>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</si>
  <si>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</si>
  <si>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</si>
  <si>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</si>
  <si>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</si>
  <si>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</si>
  <si>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</si>
  <si>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</si>
  <si>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</si>
  <si>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</si>
  <si>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</si>
  <si>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</si>
  <si>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</si>
  <si>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</si>
  <si>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</si>
  <si>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</si>
  <si>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</si>
  <si>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</si>
  <si>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</si>
  <si>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</si>
  <si>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</si>
  <si>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</si>
  <si>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</si>
  <si>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</si>
  <si>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</si>
  <si>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</si>
  <si>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</si>
  <si>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</si>
  <si>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</si>
  <si>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</si>
  <si>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</si>
  <si>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</si>
  <si>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</si>
  <si>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</si>
  <si>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</si>
  <si>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</si>
  <si>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</si>
  <si>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</si>
  <si>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</si>
  <si>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</si>
  <si>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</si>
  <si>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</si>
  <si>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</si>
  <si>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</si>
  <si>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</si>
  <si>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</si>
  <si>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</si>
  <si>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</si>
  <si>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</si>
  <si>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</si>
  <si>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</si>
  <si>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Cty Cổ Phần Xây Dựng Hiền Phúc</t>
  </si>
  <si>
    <t>BQL Dự Án Xây Dựng Dân Dụng &amp; Công Nghiệp Trà Vinh</t>
  </si>
  <si>
    <t>Tạm ứng tiền dự án</t>
  </si>
  <si>
    <t>HỢP ĐỒNG</t>
  </si>
  <si>
    <t>Cty CP Cơ Khí Kim Loại Xây Dựng Hoàng Kim</t>
  </si>
  <si>
    <t>Thanh toán tiền xây dựng</t>
  </si>
  <si>
    <t>Lãi vay KU 1402LDS201401630</t>
  </si>
  <si>
    <t>Cty TNHH Một Thành Viên Cấp Thoát Nước Trà Vinh</t>
  </si>
  <si>
    <t>Đá 0 x 4</t>
  </si>
  <si>
    <t>Cty TNHH Xây Dựng Thương Mại Hồng Rõ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</si>
  <si>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</si>
  <si>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</si>
  <si>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</si>
  <si>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</si>
  <si>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</si>
  <si>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</si>
  <si>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</si>
  <si>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</si>
  <si>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</si>
  <si>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</si>
  <si>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</si>
  <si>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</si>
  <si>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</si>
  <si>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</si>
  <si>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</si>
  <si>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</si>
  <si>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</si>
  <si>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</si>
  <si>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</si>
  <si>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</si>
  <si>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</si>
  <si>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</si>
  <si>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Khách Hàng</t>
  </si>
  <si>
    <t>Đối tượng:</t>
  </si>
  <si>
    <t>Mẫu số S31-DN</t>
  </si>
  <si>
    <t>(Ban hành theo Thông tư số 200/2014/TT-BTC Ngày 22/12/2014 của Bộ Tài chính)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</si>
  <si>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</si>
  <si>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</si>
  <si>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</si>
  <si>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</si>
  <si>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</si>
  <si>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</si>
  <si>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</si>
  <si>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</si>
  <si>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</si>
  <si>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</si>
  <si>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</si>
  <si>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</si>
  <si>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</si>
  <si>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</si>
  <si>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</si>
  <si>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</si>
  <si>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</si>
  <si>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</si>
  <si>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</si>
  <si>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</si>
  <si>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</si>
  <si>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</si>
  <si>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</si>
  <si>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</si>
  <si>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</si>
  <si>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</si>
  <si>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</si>
  <si>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</si>
  <si>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</si>
  <si>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</si>
  <si>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</si>
  <si>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</si>
  <si>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</si>
  <si>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</si>
  <si>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</si>
  <si>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</si>
  <si>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</si>
  <si>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</si>
  <si>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</si>
  <si>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</si>
  <si>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</si>
  <si>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</si>
  <si>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</si>
  <si>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</si>
  <si>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</si>
  <si>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</si>
  <si>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</si>
  <si>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</si>
  <si>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</si>
  <si>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</si>
  <si>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</si>
  <si>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</si>
  <si>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</si>
  <si>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</si>
  <si>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</si>
  <si>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</si>
  <si>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</si>
  <si>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</si>
  <si>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</si>
  <si>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</si>
  <si>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</si>
  <si>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</si>
  <si>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</si>
  <si>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</si>
  <si>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</si>
  <si>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</si>
  <si>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</si>
  <si>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</si>
  <si>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</si>
  <si>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</si>
  <si>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</si>
  <si>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</si>
  <si>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</si>
  <si>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</si>
  <si>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</si>
  <si>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</si>
  <si>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</si>
  <si>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</si>
  <si>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Phi Hải</t>
  </si>
  <si>
    <t>Phạm Thị Đông</t>
  </si>
  <si>
    <t>DNTN Hai Lượm</t>
  </si>
  <si>
    <t>DNTN SX - TM Nguyễn Trình</t>
  </si>
  <si>
    <t>Cty CP Điện Nước Quang Phúc</t>
  </si>
  <si>
    <t>Cty CP Lưới Hàn Thiên Phú</t>
  </si>
  <si>
    <t>Cty TNHH Kỹ Thuật Cơ Điện M &amp; E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</si>
  <si>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</si>
  <si>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</si>
  <si>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</si>
  <si>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</si>
  <si>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</si>
  <si>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</si>
  <si>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Cty TNHH SX TM Nam Đại Thành</t>
  </si>
  <si>
    <t>Cty TNHH Xây Dựng Hoàn Cầu</t>
  </si>
  <si>
    <t>TỔNG HỢP TÀI KHOẢN 331</t>
  </si>
  <si>
    <t>Cty TNHH MTV Quảng Cáo Tấn Phong</t>
  </si>
  <si>
    <t>Cty TNHH TM Trang Trí Nội Thất Kiến Hưng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</si>
  <si>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</si>
  <si>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</si>
  <si>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</si>
  <si>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</si>
  <si>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</si>
  <si>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</si>
  <si>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</si>
  <si>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</si>
  <si>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</si>
  <si>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</si>
  <si>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</si>
  <si>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</si>
  <si>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</si>
  <si>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</si>
  <si>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</si>
  <si>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</si>
  <si>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</si>
  <si>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</si>
  <si>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0000105</t>
  </si>
  <si>
    <t>Nộp tiền mặt vào tài khoản ngân hàng</t>
  </si>
  <si>
    <t>Hoàn trả tiền mượn chuyển khoản</t>
  </si>
  <si>
    <t>Số tiền:</t>
  </si>
  <si>
    <t>Cty TNHH Nhựa Long Thành</t>
  </si>
  <si>
    <t>Nguyễn Thành Công</t>
  </si>
  <si>
    <t>Công Ty Điện Lực Trà Vinh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</si>
  <si>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</si>
  <si>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</si>
  <si>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</si>
  <si>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</si>
  <si>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</si>
  <si>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</si>
  <si>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</si>
  <si>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</si>
  <si>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</si>
  <si>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</si>
  <si>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</si>
  <si>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</si>
  <si>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</si>
  <si>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</si>
  <si>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</si>
  <si>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</si>
  <si>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</si>
  <si>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</si>
  <si>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</si>
  <si>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</si>
  <si>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</si>
  <si>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</si>
  <si>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</si>
  <si>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</si>
  <si>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</si>
  <si>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</si>
  <si>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</si>
  <si>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</si>
  <si>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</si>
  <si>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</si>
  <si>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</si>
  <si>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</si>
  <si>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</si>
  <si>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</si>
  <si>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</si>
  <si>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</si>
  <si>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</si>
  <si>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</si>
  <si>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</si>
  <si>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</si>
  <si>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</si>
  <si>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</si>
  <si>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</si>
  <si>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</si>
  <si>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</si>
  <si>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</si>
  <si>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</si>
  <si>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</si>
  <si>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</si>
  <si>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</si>
  <si>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</si>
  <si>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</si>
  <si>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</si>
  <si>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</si>
  <si>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</si>
  <si>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</si>
  <si>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</si>
  <si>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</si>
  <si>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</si>
  <si>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</si>
  <si>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</si>
  <si>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</si>
  <si>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</si>
  <si>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</si>
  <si>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</si>
  <si>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</si>
  <si>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K/C chi phí xây dựng cơ bản dở dang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</si>
  <si>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</si>
  <si>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</si>
  <si>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</si>
  <si>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</si>
  <si>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</si>
  <si>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</si>
  <si>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</si>
  <si>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</si>
  <si>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Mẫu số S01-DN</t>
  </si>
  <si>
    <t>(Ban hành theo QĐ số 48/2006/QĐ-BTC Ngày 14/09/2006 của Bộ trưởng BTC)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</si>
  <si>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</si>
  <si>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</si>
  <si>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</si>
  <si>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</si>
  <si>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</si>
  <si>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</si>
  <si>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</si>
  <si>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</si>
  <si>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</si>
  <si>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</si>
  <si>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</si>
  <si>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</si>
  <si>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</si>
  <si>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</si>
  <si>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</si>
  <si>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</si>
  <si>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</si>
  <si>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</si>
  <si>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</si>
  <si>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</si>
  <si>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</si>
  <si>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</si>
  <si>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</si>
  <si>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</si>
  <si>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</si>
  <si>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</si>
  <si>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Sổ này có 09 trang, đánh số từ trang 01 đến trang 09</t>
  </si>
  <si>
    <t>Sổ này có 15 trang, đánh số từ trang 01 đến trang 15</t>
  </si>
  <si>
    <t>Mượn vốn - An Lạc LA</t>
  </si>
  <si>
    <t>Thuê QSDĐ - KCN Long Đức 15/9/13-15/9/14</t>
  </si>
  <si>
    <t xml:space="preserve">GTGT Phí chuyển tiền </t>
  </si>
  <si>
    <t>Tạm ứng tiền XD CSHT - Công  Nghệ Môi Trường CMD</t>
  </si>
  <si>
    <t>Trả tiền mượn vốn - An Lạc LA</t>
  </si>
  <si>
    <t>0042089</t>
  </si>
  <si>
    <t>Thuê quyền SDĐ - KCN Long Đức 15/9/2013-15/9/2014</t>
  </si>
  <si>
    <t>GTGT Thuê quyền SDĐ - KCN Long Đức 26/8/10-15/9/11</t>
  </si>
  <si>
    <t>Thuế môn bài 2014</t>
  </si>
  <si>
    <t>Nộp TM</t>
  </si>
  <si>
    <t>Ứng tiền cọc betong - Tân Tài</t>
  </si>
  <si>
    <t>Ứng tiền cọc betong - IBS</t>
  </si>
  <si>
    <t>GTGT Phí duy trì DV SMS</t>
  </si>
  <si>
    <t>Phí duy trì DV SMS - 0913906967</t>
  </si>
  <si>
    <t>Ứng tiền thiết kế - Kiến Trúc XD Bách Việt</t>
  </si>
  <si>
    <t>6422</t>
  </si>
  <si>
    <t>Thanh toán CSHT - KCN Long Đức</t>
  </si>
  <si>
    <t>Tiền sử dụng CSHT - KCN Long Đức 15/9/13-15/9/14</t>
  </si>
  <si>
    <t>VAT CSHT - KCN Long Đức</t>
  </si>
  <si>
    <t>Lê Thị Hoa</t>
  </si>
  <si>
    <t>Ứng tiền cọc betong IBS</t>
  </si>
  <si>
    <t>Ứng tiền cọc betong Tân Tài</t>
  </si>
  <si>
    <t>Tạ Thị Đông Dân</t>
  </si>
  <si>
    <t>Ứng tiển thiết kế - Kiến Trúc XD Bách Việt</t>
  </si>
  <si>
    <t>Lập báo cáo dự án - Trà Vinh</t>
  </si>
  <si>
    <t>VAT Lập báo cáo dự án - Trà Vinh</t>
  </si>
  <si>
    <t>Tạm ứng tiền theo dõi môi trường công trình xây dựng</t>
  </si>
  <si>
    <t>Thuê quyền SDĐ - KCN Long Đức 08/03/14-08/03/15</t>
  </si>
  <si>
    <t>0056855</t>
  </si>
  <si>
    <t>Vay KU 1402LDS201401630</t>
  </si>
  <si>
    <t>Thanh toán hợp đồng giao khoán số 13/HDGK/2014</t>
  </si>
  <si>
    <t>Phí kiểm đếm</t>
  </si>
  <si>
    <t>VAT Phí kiểm đếm</t>
  </si>
  <si>
    <t>Hợp đồng giao khoán số 13/HDGK/2014</t>
  </si>
  <si>
    <t>0000001</t>
  </si>
  <si>
    <t>VAT Hợp đồng giao khoán số 13/HDGK/2014</t>
  </si>
  <si>
    <t>Cọc bê tông</t>
  </si>
  <si>
    <t>0000559</t>
  </si>
  <si>
    <t>VAT Cọc bê tông</t>
  </si>
  <si>
    <t>Thanh toán tiền xây dựng - Khánh Trân</t>
  </si>
  <si>
    <t>Vay KU 1402LDS201402000</t>
  </si>
  <si>
    <t xml:space="preserve">Phí điểu chỉnh lệnh chuyển tiền </t>
  </si>
  <si>
    <t>VAT Phí điểu chỉnh lệnh chuyển tiền</t>
  </si>
  <si>
    <t>Thanh toán tiền dự án cấp thoát nước</t>
  </si>
  <si>
    <t>Thanh toán CSHT - KCN Long Đức 15/09/14 - 15/09/15</t>
  </si>
  <si>
    <t>0000881</t>
  </si>
  <si>
    <t>VAT Đá 0 x 4</t>
  </si>
  <si>
    <t>Cọc bêtong</t>
  </si>
  <si>
    <t>0000316</t>
  </si>
  <si>
    <t>VAT Cọc bêtong</t>
  </si>
  <si>
    <t>Phí hạ tầng - KCN Long Đức 15/09/14 - 15/09/15</t>
  </si>
  <si>
    <t>0066256</t>
  </si>
  <si>
    <t>Vay KU 1402LDS201402374</t>
  </si>
  <si>
    <t>Thanh toán tiền đá - Hồng Rõ</t>
  </si>
  <si>
    <t>Tiền mạng lưới cấp thoát nước</t>
  </si>
  <si>
    <t>0008366</t>
  </si>
  <si>
    <t>VAT Tiền mạng lưới cấp thoát nước</t>
  </si>
  <si>
    <t>Đăng kí chữ ký số</t>
  </si>
  <si>
    <t>0007164</t>
  </si>
  <si>
    <t>Cty TNHH Kê Khai Qua Mạng Việt Nam</t>
  </si>
  <si>
    <t>VAT Đăng kí chữ ký số</t>
  </si>
  <si>
    <t xml:space="preserve">Lãi vay KU 1402LDS201401630 </t>
  </si>
  <si>
    <t>Vay KU 1402LDS201402740</t>
  </si>
  <si>
    <t>Vay KU 1402LDS201403045</t>
  </si>
  <si>
    <t>Lập báo cáo dự án - Công Nghệ Môi Trường CDM</t>
  </si>
  <si>
    <t>GTGT Lập báo cáo dự án - Công Nghệ Môi Trường CDM</t>
  </si>
  <si>
    <t>Tiền tạm ứng XD CSHT trả về NH (sai tên) - Công  Nghệ Môi Trường CMD</t>
  </si>
  <si>
    <t>Thuê QSDĐ - KCN Long Đức 08/03/14 - 08/03/15</t>
  </si>
  <si>
    <t>GTGT Thuê quyền SDĐ - KCN Long Đức 15/9/11-15/9/12</t>
  </si>
  <si>
    <t>GTGT Phí DV internet banking</t>
  </si>
  <si>
    <t>Mượn vốn - An Lạc</t>
  </si>
  <si>
    <t>Trả tiền mượn vốn - An Lạc</t>
  </si>
  <si>
    <t>Thanh toán tiền - Hiền Phúc</t>
  </si>
  <si>
    <t>Tạm ứng tiền dự án - BQL Dự Án Dân Dụng Trà Vinh</t>
  </si>
  <si>
    <t>GTGT Phí kiểm đếm</t>
  </si>
  <si>
    <t>Bản vẽ thiết kế công trình - Hiền Phúc</t>
  </si>
  <si>
    <t>GTGT Bản vẽ thiết kế công trình - Hiền Phúc</t>
  </si>
  <si>
    <t>Cọc bê tông - Cty Cổ Phần Bê Tông IBS</t>
  </si>
  <si>
    <t>GTGT Cọc bê tông - Cty Cổ Phần Bê Tông IBS</t>
  </si>
  <si>
    <t>Vay KU 1402LDS20142000</t>
  </si>
  <si>
    <t>Thanh toán tiền công trình - Hoàng Kim</t>
  </si>
  <si>
    <t>GTGT Phí điểu chỉnh lệnh chuyển tiền</t>
  </si>
  <si>
    <t>Thanh toán tiền dự án cấp thoát nước - CTN Trà Vinh</t>
  </si>
  <si>
    <t>Thuê QSDĐ - KCN Long Đức 15/09/14 - 15/09/15</t>
  </si>
  <si>
    <t>Đá 0 x 4 - Cty TNHH Xây Dựng Thương Mại Hồng Rõ</t>
  </si>
  <si>
    <t>GTGT Đá 0 x 4 - Cty TNHH Xây Dựng Thương Mại Hồng Rõ</t>
  </si>
  <si>
    <t>Ép cọc bêtong - Cty TNHH MTV Tân Tài</t>
  </si>
  <si>
    <t>GTGT Ép cọc bêtong - Cty TNHH MTV Tân Tài</t>
  </si>
  <si>
    <t>Tiền TK, XD mạng lưới cấp thoát nước - Cấp Thoát Nước Trà Vinh</t>
  </si>
  <si>
    <t>GTGT Tiền TK, XD mạng lưới cấp thoát nước - Cấp Thoát Nước Trà Vinh</t>
  </si>
  <si>
    <t>Dịch vụ chữ ký số - HĐ0007164</t>
  </si>
  <si>
    <t>GTGT Dịch vụ chữ ký số - HĐ0007164</t>
  </si>
  <si>
    <t>Phạt trả chậm lãi vay KU 1402LDS201401630</t>
  </si>
  <si>
    <t>Phạt trả chậm lãi vay KU 1402LDS201402000</t>
  </si>
  <si>
    <t>Phí chuyển tiền ngày 11/12/2014</t>
  </si>
  <si>
    <t>Quý II</t>
  </si>
  <si>
    <t>Ngày  31  tháng  12   năm   2014</t>
  </si>
  <si>
    <t>- Ngày mở sổ: 02/01/2014</t>
  </si>
  <si>
    <t>Quý II / 2014</t>
  </si>
  <si>
    <t>Thuê quyền SDĐ - KCN Long Đức 8/3/2014-8/3/2014</t>
  </si>
  <si>
    <t>Ngày mở sổ:  01/04/2014</t>
  </si>
  <si>
    <t>Quý I / 2014</t>
  </si>
  <si>
    <t>Ngày mở sổ:  01/01/2014</t>
  </si>
  <si>
    <t>Quý III / 2014</t>
  </si>
  <si>
    <t>Ngày mở sổ:  01/07/2014</t>
  </si>
  <si>
    <t>Quý IV / 2014</t>
  </si>
  <si>
    <t>Thuê quyền SDĐ - KCN Long Đức 15/9/21014-15/9/2014</t>
  </si>
  <si>
    <t>TỔNG HỢP TÀI KHOẢN 341 - 2014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</si>
</sst>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7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3" fontId="22" fillId="21" borderId="2"/>
    <xf numFmtId="0" fontId="7" fillId="22" borderId="3" applyNumberFormat="0" applyAlignment="0" applyProtection="0"/>
    <xf numFmtId="43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9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4" fillId="0" borderId="11" applyNumberFormat="0" applyFill="0" applyAlignment="0" applyProtection="0"/>
    <xf numFmtId="170" fontId="26" fillId="0" borderId="12"/>
    <xf numFmtId="0" fontId="15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36" fillId="0" borderId="0"/>
    <xf numFmtId="0" fontId="3" fillId="24" borderId="13" applyNumberFormat="0" applyFont="0" applyAlignment="0" applyProtection="0"/>
    <xf numFmtId="0" fontId="16" fillId="20" borderId="14" applyNumberFormat="0" applyAlignment="0" applyProtection="0"/>
    <xf numFmtId="0" fontId="27" fillId="0" borderId="0">
      <alignment horizontal="centerContinuous"/>
    </xf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6" fillId="0" borderId="0">
      <alignment horizontal="center"/>
    </xf>
    <xf numFmtId="0" fontId="53" fillId="0" borderId="0"/>
    <xf numFmtId="0" fontId="2" fillId="0" borderId="0"/>
    <xf numFmtId="0" fontId="59" fillId="0" borderId="0" applyNumberFormat="0" applyFill="0" applyBorder="0" applyAlignment="0" applyProtection="0">
      <alignment vertical="top"/>
      <protection locked="0"/>
    </xf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64" fillId="0" borderId="0" applyFont="0" applyFill="0" applyBorder="0" applyAlignment="0" applyProtection="0"/>
    <xf numFmtId="0" fontId="64" fillId="0" borderId="0"/>
    <xf numFmtId="0" fontId="1" fillId="0" borderId="0"/>
    <xf numFmtId="0" fontId="2" fillId="0" borderId="0"/>
    <xf numFmtId="171" fontId="2" fillId="0" borderId="0" applyFont="0" applyFill="0" applyBorder="0" applyAlignment="0" applyProtection="0"/>
    <xf numFmtId="0" fontId="2" fillId="0" borderId="0"/>
    <xf numFmtId="0" fontId="2" fillId="0" borderId="0"/>
  </cellStyleXfs>
  <cellXfs count="576">
    <xf numFmtId="0" fontId="0" fillId="0" borderId="0" xfId="0"/>
    <xf numFmtId="0" fontId="32" fillId="0" borderId="0" xfId="54" applyFont="1" applyAlignment="1">
      <alignment horizontal="left" vertical="center"/>
    </xf>
    <xf numFmtId="164" fontId="35" fillId="0" borderId="0" xfId="54" applyNumberFormat="1" applyFont="1" applyAlignment="1">
      <alignment vertical="center" wrapText="1"/>
    </xf>
    <xf numFmtId="164" fontId="32" fillId="0" borderId="0" xfId="54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0" fontId="32" fillId="0" borderId="0" xfId="52" applyFont="1" applyAlignment="1">
      <alignment vertical="center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3" fontId="39" fillId="0" borderId="16" xfId="46" applyFont="1" applyBorder="1" applyAlignment="1">
      <alignment vertical="center"/>
    </xf>
    <xf numFmtId="164" fontId="39" fillId="0" borderId="16" xfId="29" applyNumberFormat="1" applyFont="1" applyBorder="1" applyAlignment="1">
      <alignment vertical="center"/>
    </xf>
    <xf numFmtId="14" fontId="33" fillId="0" borderId="22" xfId="55" applyNumberFormat="1" applyFont="1" applyBorder="1" applyAlignment="1">
      <alignment horizontal="center" vertical="center" wrapText="1"/>
    </xf>
    <xf numFmtId="0" fontId="25" fillId="0" borderId="0" xfId="53" applyAlignment="1">
      <alignment vertical="center"/>
    </xf>
    <xf numFmtId="0" fontId="33" fillId="0" borderId="0" xfId="53" applyFont="1" applyAlignment="1">
      <alignment vertical="center"/>
    </xf>
    <xf numFmtId="0" fontId="39" fillId="0" borderId="0" xfId="53" applyFont="1" applyAlignment="1">
      <alignment vertical="center"/>
    </xf>
    <xf numFmtId="0" fontId="40" fillId="0" borderId="0" xfId="53" applyFont="1" applyAlignment="1">
      <alignment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25" fillId="0" borderId="0" xfId="29" applyNumberFormat="1" applyFont="1" applyAlignment="1">
      <alignment vertical="center"/>
    </xf>
    <xf numFmtId="164" fontId="39" fillId="0" borderId="0" xfId="29" applyNumberFormat="1" applyFont="1" applyAlignment="1">
      <alignment vertical="center"/>
    </xf>
    <xf numFmtId="164" fontId="33" fillId="0" borderId="0" xfId="29" applyNumberFormat="1" applyFont="1" applyAlignment="1">
      <alignment vertical="center"/>
    </xf>
    <xf numFmtId="164" fontId="40" fillId="0" borderId="0" xfId="29" applyNumberFormat="1" applyFont="1" applyAlignment="1">
      <alignment vertical="center"/>
    </xf>
    <xf numFmtId="164" fontId="33" fillId="21" borderId="0" xfId="29" applyNumberFormat="1" applyFont="1" applyFill="1" applyAlignment="1">
      <alignment vertical="center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0" fontId="33" fillId="0" borderId="0" xfId="52" applyFont="1" applyAlignment="1">
      <alignment horizontal="center" vertical="center"/>
    </xf>
    <xf numFmtId="0" fontId="33" fillId="0" borderId="0" xfId="52" applyFont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23" fillId="0" borderId="0" xfId="0" applyFont="1"/>
    <xf numFmtId="0" fontId="33" fillId="0" borderId="2" xfId="52" applyFont="1" applyBorder="1" applyAlignment="1">
      <alignment horizontal="center" vertical="center" wrapText="1" shrinkToFit="1"/>
    </xf>
    <xf numFmtId="0" fontId="22" fillId="0" borderId="0" xfId="73" applyFont="1"/>
    <xf numFmtId="164" fontId="25" fillId="0" borderId="0" xfId="74" applyNumberFormat="1" applyFont="1"/>
    <xf numFmtId="0" fontId="25" fillId="0" borderId="0" xfId="73"/>
    <xf numFmtId="0" fontId="27" fillId="0" borderId="0" xfId="58">
      <alignment horizontal="centerContinuous"/>
    </xf>
    <xf numFmtId="164" fontId="27" fillId="0" borderId="0" xfId="74" applyNumberFormat="1" applyFont="1" applyAlignment="1">
      <alignment horizontal="centerContinuous"/>
    </xf>
    <xf numFmtId="0" fontId="27" fillId="0" borderId="0" xfId="58" applyFont="1">
      <alignment horizontal="centerContinuous"/>
    </xf>
    <xf numFmtId="0" fontId="22" fillId="21" borderId="17" xfId="75" applyBorder="1">
      <alignment horizontal="centerContinuous" vertical="center" wrapText="1"/>
    </xf>
    <xf numFmtId="164" fontId="22" fillId="21" borderId="2" xfId="74" applyNumberFormat="1" applyFont="1" applyFill="1" applyBorder="1" applyAlignment="1">
      <alignment horizontal="centerContinuous" vertical="center" wrapText="1"/>
    </xf>
    <xf numFmtId="0" fontId="22" fillId="21" borderId="2" xfId="75">
      <alignment horizontal="centerContinuous" vertical="center" wrapText="1"/>
    </xf>
    <xf numFmtId="0" fontId="22" fillId="21" borderId="18" xfId="75" applyBorder="1">
      <alignment horizontal="centerContinuous" vertical="center" wrapText="1"/>
    </xf>
    <xf numFmtId="164" fontId="42" fillId="0" borderId="25" xfId="74" quotePrefix="1" applyNumberFormat="1" applyFont="1" applyBorder="1" applyAlignment="1">
      <alignment horizontal="center"/>
    </xf>
    <xf numFmtId="164" fontId="43" fillId="0" borderId="25" xfId="74" applyNumberFormat="1" applyFont="1" applyBorder="1" applyAlignment="1">
      <alignment horizontal="center"/>
    </xf>
    <xf numFmtId="164" fontId="42" fillId="0" borderId="25" xfId="74" applyNumberFormat="1" applyFont="1" applyBorder="1"/>
    <xf numFmtId="164" fontId="42" fillId="0" borderId="27" xfId="74" applyNumberFormat="1" applyFont="1" applyBorder="1"/>
    <xf numFmtId="164" fontId="25" fillId="0" borderId="0" xfId="74" applyNumberFormat="1" applyFont="1" applyFill="1"/>
    <xf numFmtId="164" fontId="22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2" fillId="0" borderId="10" xfId="74" applyNumberFormat="1" applyFont="1" applyBorder="1"/>
    <xf numFmtId="164" fontId="42" fillId="0" borderId="25" xfId="74" applyNumberFormat="1" applyFont="1" applyBorder="1" applyAlignment="1">
      <alignment horizontal="center"/>
    </xf>
    <xf numFmtId="164" fontId="22" fillId="0" borderId="10" xfId="74" quotePrefix="1" applyNumberFormat="1" applyFont="1" applyBorder="1" applyAlignment="1">
      <alignment horizontal="left"/>
    </xf>
    <xf numFmtId="164" fontId="25" fillId="0" borderId="28" xfId="74" applyNumberFormat="1" applyFont="1" applyBorder="1"/>
    <xf numFmtId="164" fontId="25" fillId="0" borderId="28" xfId="74" quotePrefix="1" applyNumberFormat="1" applyFont="1" applyBorder="1" applyAlignment="1">
      <alignment horizontal="right"/>
    </xf>
    <xf numFmtId="164" fontId="34" fillId="0" borderId="28" xfId="74" applyNumberFormat="1" applyFont="1" applyBorder="1" applyAlignment="1">
      <alignment horizontal="right"/>
    </xf>
    <xf numFmtId="164" fontId="22" fillId="0" borderId="2" xfId="74" applyNumberFormat="1" applyFont="1" applyBorder="1"/>
    <xf numFmtId="3" fontId="25" fillId="0" borderId="0" xfId="73" applyNumberFormat="1"/>
    <xf numFmtId="164" fontId="25" fillId="0" borderId="0" xfId="73" applyNumberFormat="1"/>
    <xf numFmtId="0" fontId="25" fillId="0" borderId="0" xfId="73" applyBorder="1"/>
    <xf numFmtId="0" fontId="33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3" fillId="0" borderId="0" xfId="76" applyNumberFormat="1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 wrapText="1"/>
    </xf>
    <xf numFmtId="0" fontId="45" fillId="0" borderId="2" xfId="76" applyFont="1" applyFill="1" applyBorder="1" applyAlignment="1">
      <alignment horizontal="center" vertical="center"/>
    </xf>
    <xf numFmtId="0" fontId="33" fillId="0" borderId="16" xfId="77" applyNumberFormat="1" applyFont="1" applyFill="1" applyBorder="1" applyAlignment="1">
      <alignment horizontal="center" vertical="center"/>
    </xf>
    <xf numFmtId="14" fontId="33" fillId="0" borderId="16" xfId="76" applyNumberFormat="1" applyFont="1" applyFill="1" applyBorder="1" applyAlignment="1">
      <alignment horizontal="center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76" applyNumberFormat="1" applyFont="1" applyFill="1" applyBorder="1" applyAlignment="1">
      <alignment horizontal="center" vertical="center"/>
    </xf>
    <xf numFmtId="1" fontId="33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3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3" fillId="0" borderId="16" xfId="76" applyNumberFormat="1" applyFont="1" applyFill="1" applyBorder="1" applyAlignment="1">
      <alignment horizontal="left" vertical="center"/>
    </xf>
    <xf numFmtId="49" fontId="33" fillId="0" borderId="16" xfId="76" quotePrefix="1" applyNumberFormat="1" applyFont="1" applyFill="1" applyBorder="1" applyAlignment="1">
      <alignment horizontal="left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center" vertical="center" wrapText="1"/>
    </xf>
    <xf numFmtId="164" fontId="33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0" fontId="50" fillId="0" borderId="16" xfId="76" quotePrefix="1" applyNumberFormat="1" applyFont="1" applyFill="1" applyBorder="1" applyAlignment="1">
      <alignment horizontal="center" vertical="center"/>
    </xf>
    <xf numFmtId="14" fontId="33" fillId="0" borderId="16" xfId="76" quotePrefix="1" applyNumberFormat="1" applyFont="1" applyFill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 vertical="center" wrapText="1"/>
    </xf>
    <xf numFmtId="164" fontId="22" fillId="0" borderId="28" xfId="74" applyNumberFormat="1" applyFont="1" applyBorder="1"/>
    <xf numFmtId="164" fontId="22" fillId="0" borderId="29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25" fillId="0" borderId="0" xfId="53" applyNumberFormat="1" applyAlignment="1">
      <alignment vertical="center"/>
    </xf>
    <xf numFmtId="0" fontId="38" fillId="21" borderId="20" xfId="34" applyFont="1" applyBorder="1" applyAlignment="1">
      <alignment horizontal="center" vertical="center" wrapText="1"/>
    </xf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 vertical="center" wrapText="1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3" fillId="0" borderId="22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4" fillId="0" borderId="0" xfId="77" applyFont="1" applyFill="1" applyBorder="1" applyAlignment="1" applyProtection="1">
      <alignment horizontal="justify" vertical="center"/>
      <protection hidden="1"/>
    </xf>
    <xf numFmtId="0" fontId="32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32" fillId="0" borderId="0" xfId="79" applyNumberFormat="1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4" fontId="32" fillId="0" borderId="0" xfId="77" applyNumberFormat="1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0" fontId="34" fillId="0" borderId="0" xfId="80" applyFont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10" fontId="32" fillId="0" borderId="0" xfId="79" applyNumberFormat="1" applyFont="1" applyFill="1" applyBorder="1" applyAlignment="1" applyProtection="1">
      <alignment vertical="center"/>
      <protection hidden="1"/>
    </xf>
    <xf numFmtId="171" fontId="58" fillId="0" borderId="0" xfId="77" applyNumberFormat="1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10" fontId="60" fillId="0" borderId="0" xfId="81" applyNumberFormat="1" applyFont="1" applyFill="1" applyBorder="1" applyAlignment="1" applyProtection="1">
      <alignment horizontal="center" vertical="center"/>
      <protection hidden="1"/>
    </xf>
    <xf numFmtId="0" fontId="32" fillId="0" borderId="0" xfId="77" applyFont="1" applyFill="1" applyBorder="1" applyAlignment="1" applyProtection="1">
      <alignment vertical="center"/>
      <protection locked="0" hidden="1"/>
    </xf>
    <xf numFmtId="0" fontId="33" fillId="0" borderId="0" xfId="80" applyFont="1" applyAlignment="1" applyProtection="1">
      <alignment horizontal="center" vertical="center"/>
      <protection hidden="1"/>
    </xf>
    <xf numFmtId="0" fontId="61" fillId="0" borderId="0" xfId="77" applyFont="1" applyFill="1" applyBorder="1" applyAlignment="1" applyProtection="1">
      <alignment horizontal="left" vertical="center"/>
      <protection hidden="1"/>
    </xf>
    <xf numFmtId="0" fontId="61" fillId="0" borderId="0" xfId="77" applyFont="1" applyFill="1" applyBorder="1" applyAlignment="1" applyProtection="1">
      <alignment horizontal="justify" vertical="center"/>
      <protection hidden="1"/>
    </xf>
    <xf numFmtId="0" fontId="61" fillId="0" borderId="0" xfId="77" applyFont="1" applyFill="1" applyBorder="1" applyAlignment="1" applyProtection="1">
      <alignment vertical="center"/>
      <protection hidden="1"/>
    </xf>
    <xf numFmtId="171" fontId="62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61" fillId="0" borderId="0" xfId="74" applyNumberFormat="1" applyFont="1" applyFill="1" applyBorder="1" applyAlignment="1" applyProtection="1">
      <alignment vertical="center"/>
      <protection hidden="1"/>
    </xf>
    <xf numFmtId="10" fontId="61" fillId="0" borderId="0" xfId="79" applyNumberFormat="1" applyFont="1" applyFill="1" applyBorder="1" applyAlignment="1" applyProtection="1">
      <alignment vertical="center"/>
      <protection hidden="1"/>
    </xf>
    <xf numFmtId="49" fontId="6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NumberFormat="1" applyFont="1" applyFill="1" applyBorder="1" applyAlignment="1" applyProtection="1">
      <alignment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NumberFormat="1" applyFont="1" applyFill="1" applyBorder="1" applyAlignment="1" applyProtection="1">
      <alignment horizontal="left" vertical="center"/>
      <protection hidden="1"/>
    </xf>
    <xf numFmtId="10" fontId="61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7" applyFont="1" applyFill="1" applyBorder="1" applyAlignment="1" applyProtection="1">
      <alignment horizontal="left"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37" fontId="32" fillId="0" borderId="0" xfId="79" applyNumberFormat="1" applyFont="1" applyFill="1" applyBorder="1" applyAlignment="1" applyProtection="1">
      <alignment vertical="center"/>
      <protection hidden="1"/>
    </xf>
    <xf numFmtId="172" fontId="58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center"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172" fontId="35" fillId="0" borderId="0" xfId="77" applyNumberFormat="1" applyFont="1" applyFill="1" applyBorder="1" applyAlignment="1" applyProtection="1">
      <alignment horizontal="center" vertical="center"/>
      <protection hidden="1"/>
    </xf>
    <xf numFmtId="172" fontId="35" fillId="0" borderId="0" xfId="77" applyNumberFormat="1" applyFont="1" applyFill="1" applyBorder="1" applyAlignment="1" applyProtection="1">
      <alignment vertical="center"/>
      <protection hidden="1"/>
    </xf>
    <xf numFmtId="0" fontId="32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/>
    <xf numFmtId="0" fontId="35" fillId="26" borderId="2" xfId="77" applyFont="1" applyFill="1" applyBorder="1" applyAlignment="1" applyProtection="1">
      <alignment vertical="center"/>
      <protection locked="0" hidden="1"/>
    </xf>
    <xf numFmtId="0" fontId="35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5" fillId="28" borderId="2" xfId="77" applyNumberFormat="1" applyFont="1" applyFill="1" applyBorder="1" applyAlignment="1" applyProtection="1">
      <alignment vertical="center"/>
      <protection locked="0" hidden="1"/>
    </xf>
    <xf numFmtId="164" fontId="33" fillId="0" borderId="22" xfId="76" applyNumberFormat="1" applyFont="1" applyFill="1" applyBorder="1" applyAlignment="1">
      <alignment horizontal="left" vertical="center"/>
    </xf>
    <xf numFmtId="0" fontId="33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172" fontId="62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center" vertical="center"/>
    </xf>
    <xf numFmtId="164" fontId="33" fillId="0" borderId="16" xfId="76" quotePrefix="1" applyNumberFormat="1" applyFont="1" applyFill="1" applyBorder="1" applyAlignment="1">
      <alignment horizontal="center" vertical="center"/>
    </xf>
    <xf numFmtId="164" fontId="48" fillId="0" borderId="16" xfId="76" quotePrefix="1" applyNumberFormat="1" applyFont="1" applyFill="1" applyBorder="1" applyAlignment="1">
      <alignment horizontal="center" vertical="center"/>
    </xf>
    <xf numFmtId="164" fontId="33" fillId="0" borderId="22" xfId="76" applyNumberFormat="1" applyFont="1" applyFill="1" applyBorder="1" applyAlignment="1">
      <alignment horizontal="center" vertical="center"/>
    </xf>
    <xf numFmtId="0" fontId="33" fillId="0" borderId="16" xfId="55" applyNumberFormat="1" applyFont="1" applyBorder="1" applyAlignment="1">
      <alignment horizontal="center" vertical="center" wrapText="1"/>
    </xf>
    <xf numFmtId="0" fontId="38" fillId="21" borderId="26" xfId="34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164" fontId="32" fillId="0" borderId="0" xfId="77" applyNumberFormat="1" applyFont="1" applyAlignment="1">
      <alignment vertical="center"/>
    </xf>
    <xf numFmtId="164" fontId="32" fillId="0" borderId="0" xfId="77" applyNumberFormat="1" applyFont="1" applyAlignment="1">
      <alignment horizontal="left" vertical="center"/>
    </xf>
    <xf numFmtId="164" fontId="32" fillId="0" borderId="2" xfId="77" applyNumberFormat="1" applyFont="1" applyBorder="1" applyAlignment="1">
      <alignment horizontal="center" vertical="center" wrapText="1"/>
    </xf>
    <xf numFmtId="164" fontId="34" fillId="0" borderId="0" xfId="77" applyNumberFormat="1" applyFont="1" applyAlignment="1">
      <alignment vertical="center"/>
    </xf>
    <xf numFmtId="164" fontId="34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2" xfId="77" applyNumberFormat="1" applyFont="1" applyBorder="1" applyAlignment="1">
      <alignment vertical="center" wrapText="1"/>
    </xf>
    <xf numFmtId="49" fontId="35" fillId="0" borderId="22" xfId="77" applyNumberFormat="1" applyFont="1" applyBorder="1" applyAlignment="1">
      <alignment vertical="center" wrapText="1"/>
    </xf>
    <xf numFmtId="164" fontId="35" fillId="0" borderId="22" xfId="77" applyNumberFormat="1" applyFont="1" applyBorder="1" applyAlignment="1">
      <alignment horizontal="left" vertical="center" wrapText="1"/>
    </xf>
    <xf numFmtId="1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/>
    </xf>
    <xf numFmtId="164" fontId="32" fillId="0" borderId="16" xfId="77" applyNumberFormat="1" applyFont="1" applyBorder="1" applyAlignment="1">
      <alignment horizontal="left" vertical="center" wrapText="1"/>
    </xf>
    <xf numFmtId="164" fontId="32" fillId="0" borderId="16" xfId="77" quotePrefix="1" applyNumberFormat="1" applyFont="1" applyBorder="1" applyAlignment="1">
      <alignment horizontal="center" vertical="center" wrapText="1"/>
    </xf>
    <xf numFmtId="164" fontId="32" fillId="0" borderId="16" xfId="74" applyNumberFormat="1" applyFont="1" applyBorder="1" applyAlignment="1">
      <alignment horizontal="left" vertical="center" wrapText="1"/>
    </xf>
    <xf numFmtId="164" fontId="32" fillId="0" borderId="16" xfId="77" applyNumberFormat="1" applyFont="1" applyBorder="1" applyAlignment="1">
      <alignment vertical="center" wrapText="1"/>
    </xf>
    <xf numFmtId="14" fontId="32" fillId="0" borderId="16" xfId="77" applyNumberFormat="1" applyFont="1" applyBorder="1" applyAlignment="1">
      <alignment vertical="center" wrapText="1"/>
    </xf>
    <xf numFmtId="49" fontId="65" fillId="0" borderId="16" xfId="74" applyNumberFormat="1" applyFont="1" applyBorder="1" applyAlignment="1">
      <alignment horizontal="center"/>
    </xf>
    <xf numFmtId="164" fontId="35" fillId="0" borderId="16" xfId="77" applyNumberFormat="1" applyFont="1" applyBorder="1" applyAlignment="1">
      <alignment vertical="center" wrapText="1"/>
    </xf>
    <xf numFmtId="164" fontId="35" fillId="0" borderId="16" xfId="77" applyNumberFormat="1" applyFont="1" applyBorder="1" applyAlignment="1">
      <alignment horizontal="center" vertical="center" wrapText="1"/>
    </xf>
    <xf numFmtId="164" fontId="35" fillId="0" borderId="19" xfId="77" applyNumberFormat="1" applyFont="1" applyBorder="1" applyAlignment="1">
      <alignment vertical="center" wrapText="1"/>
    </xf>
    <xf numFmtId="164" fontId="35" fillId="0" borderId="19" xfId="77" applyNumberFormat="1" applyFont="1" applyBorder="1" applyAlignment="1">
      <alignment horizontal="center" vertical="center" wrapText="1"/>
    </xf>
    <xf numFmtId="164" fontId="32" fillId="0" borderId="19" xfId="77" applyNumberFormat="1" applyFont="1" applyBorder="1" applyAlignment="1">
      <alignment vertical="center" wrapText="1"/>
    </xf>
    <xf numFmtId="164" fontId="32" fillId="0" borderId="0" xfId="77" quotePrefix="1" applyNumberFormat="1" applyFont="1" applyAlignment="1">
      <alignment vertical="center"/>
    </xf>
    <xf numFmtId="0" fontId="58" fillId="0" borderId="0" xfId="54" applyFont="1" applyAlignment="1">
      <alignment horizontal="center" vertical="center"/>
    </xf>
    <xf numFmtId="0" fontId="35" fillId="0" borderId="0" xfId="54" applyFont="1" applyAlignment="1">
      <alignment horizontal="center" vertical="center"/>
    </xf>
    <xf numFmtId="0" fontId="32" fillId="0" borderId="0" xfId="54" applyFont="1" applyAlignment="1">
      <alignment horizontal="center" vertical="center"/>
    </xf>
    <xf numFmtId="0" fontId="35" fillId="0" borderId="0" xfId="77" applyFont="1" applyFill="1" applyBorder="1" applyAlignment="1" applyProtection="1">
      <alignment horizontal="left" vertical="center"/>
      <protection hidden="1"/>
    </xf>
    <xf numFmtId="164" fontId="35" fillId="0" borderId="0" xfId="77" applyNumberFormat="1" applyFont="1" applyAlignment="1">
      <alignment horizontal="center" vertical="center"/>
    </xf>
    <xf numFmtId="164" fontId="35" fillId="0" borderId="22" xfId="74" applyNumberFormat="1" applyFont="1" applyBorder="1" applyAlignment="1">
      <alignment horizontal="right" vertical="center" wrapText="1"/>
    </xf>
    <xf numFmtId="0" fontId="32" fillId="0" borderId="0" xfId="87" applyFont="1" applyAlignment="1">
      <alignment vertical="center"/>
    </xf>
    <xf numFmtId="0" fontId="66" fillId="29" borderId="0" xfId="87" applyFont="1" applyFill="1" applyAlignment="1">
      <alignment horizontal="center" vertical="center" wrapText="1"/>
    </xf>
    <xf numFmtId="14" fontId="32" fillId="0" borderId="0" xfId="87" applyNumberFormat="1" applyFont="1" applyAlignment="1">
      <alignment vertical="center"/>
    </xf>
    <xf numFmtId="0" fontId="66" fillId="29" borderId="0" xfId="87" applyFont="1" applyFill="1" applyAlignment="1">
      <alignment horizontal="center" vertical="center"/>
    </xf>
    <xf numFmtId="0" fontId="66" fillId="29" borderId="0" xfId="87" applyFont="1" applyFill="1" applyAlignment="1">
      <alignment horizontal="left" vertical="center" wrapText="1"/>
    </xf>
    <xf numFmtId="0" fontId="67" fillId="29" borderId="0" xfId="87" applyFont="1" applyFill="1" applyAlignment="1">
      <alignment horizontal="center" vertical="center"/>
    </xf>
    <xf numFmtId="14" fontId="32" fillId="0" borderId="0" xfId="87" applyNumberFormat="1" applyFont="1" applyAlignment="1">
      <alignment horizontal="center" vertical="center"/>
    </xf>
    <xf numFmtId="0" fontId="32" fillId="0" borderId="0" xfId="87" applyFont="1" applyAlignment="1">
      <alignment horizontal="center" vertical="center"/>
    </xf>
    <xf numFmtId="0" fontId="69" fillId="29" borderId="38" xfId="87" applyFont="1" applyFill="1" applyBorder="1" applyAlignment="1">
      <alignment horizontal="center" vertical="center" wrapText="1"/>
    </xf>
    <xf numFmtId="0" fontId="33" fillId="0" borderId="0" xfId="87" applyFont="1" applyFill="1" applyAlignment="1">
      <alignment vertical="center"/>
    </xf>
    <xf numFmtId="0" fontId="33" fillId="0" borderId="37" xfId="87" applyFont="1" applyFill="1" applyBorder="1" applyAlignment="1">
      <alignment horizontal="center" vertical="center" wrapText="1"/>
    </xf>
    <xf numFmtId="14" fontId="33" fillId="0" borderId="38" xfId="87" applyNumberFormat="1" applyFont="1" applyFill="1" applyBorder="1" applyAlignment="1">
      <alignment horizontal="center" vertical="center" wrapText="1"/>
    </xf>
    <xf numFmtId="0" fontId="69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14" fontId="70" fillId="29" borderId="2" xfId="87" applyNumberFormat="1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34" fillId="0" borderId="0" xfId="87" applyFont="1" applyAlignment="1">
      <alignment vertical="center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1" fillId="29" borderId="2" xfId="74" applyNumberFormat="1" applyFont="1" applyFill="1" applyBorder="1" applyAlignment="1">
      <alignment vertical="center" wrapText="1"/>
    </xf>
    <xf numFmtId="0" fontId="33" fillId="0" borderId="0" xfId="87" applyFont="1" applyAlignment="1">
      <alignment vertical="center"/>
    </xf>
    <xf numFmtId="14" fontId="33" fillId="0" borderId="16" xfId="87" applyNumberFormat="1" applyFont="1" applyFill="1" applyBorder="1" applyAlignment="1">
      <alignment horizontal="center" vertical="center" wrapText="1"/>
    </xf>
    <xf numFmtId="164" fontId="33" fillId="0" borderId="16" xfId="74" applyNumberFormat="1" applyFont="1" applyFill="1" applyBorder="1" applyAlignment="1">
      <alignment horizontal="right" vertical="center" wrapText="1"/>
    </xf>
    <xf numFmtId="164" fontId="33" fillId="0" borderId="16" xfId="87" applyNumberFormat="1" applyFont="1" applyFill="1" applyBorder="1" applyAlignment="1">
      <alignment vertical="center" wrapText="1"/>
    </xf>
    <xf numFmtId="14" fontId="69" fillId="29" borderId="2" xfId="87" applyNumberFormat="1" applyFont="1" applyFill="1" applyBorder="1" applyAlignment="1">
      <alignment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vertical="center" wrapText="1"/>
    </xf>
    <xf numFmtId="164" fontId="71" fillId="29" borderId="2" xfId="87" applyNumberFormat="1" applyFont="1" applyFill="1" applyBorder="1" applyAlignment="1">
      <alignment vertical="center" wrapText="1"/>
    </xf>
    <xf numFmtId="0" fontId="69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43" fontId="33" fillId="0" borderId="0" xfId="74" applyFont="1" applyAlignment="1">
      <alignment vertical="center"/>
    </xf>
    <xf numFmtId="0" fontId="33" fillId="0" borderId="0" xfId="87" applyFont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1" fillId="29" borderId="0" xfId="87" applyFont="1" applyFill="1" applyAlignment="1">
      <alignment horizontal="center" vertical="center" wrapText="1"/>
    </xf>
    <xf numFmtId="0" fontId="72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38" fillId="0" borderId="0" xfId="87" applyFont="1" applyAlignment="1">
      <alignment vertical="center"/>
    </xf>
    <xf numFmtId="0" fontId="69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/>
    </xf>
    <xf numFmtId="164" fontId="69" fillId="29" borderId="0" xfId="74" applyNumberFormat="1" applyFont="1" applyFill="1" applyAlignment="1">
      <alignment horizontal="center" vertical="center"/>
    </xf>
    <xf numFmtId="0" fontId="69" fillId="29" borderId="0" xfId="87" applyFont="1" applyFill="1" applyAlignment="1">
      <alignment vertical="center" wrapText="1"/>
    </xf>
    <xf numFmtId="0" fontId="73" fillId="0" borderId="0" xfId="87" applyFont="1" applyAlignment="1">
      <alignment vertical="center"/>
    </xf>
    <xf numFmtId="14" fontId="73" fillId="0" borderId="0" xfId="87" applyNumberFormat="1" applyFont="1" applyAlignment="1">
      <alignment vertical="center"/>
    </xf>
    <xf numFmtId="0" fontId="73" fillId="0" borderId="0" xfId="87" applyFont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164" fontId="74" fillId="25" borderId="33" xfId="77" applyNumberFormat="1" applyFont="1" applyFill="1" applyBorder="1" applyAlignment="1">
      <alignment vertical="center"/>
    </xf>
    <xf numFmtId="164" fontId="74" fillId="0" borderId="41" xfId="77" applyNumberFormat="1" applyFont="1" applyBorder="1" applyAlignment="1" applyProtection="1">
      <alignment vertical="center"/>
      <protection hidden="1"/>
    </xf>
    <xf numFmtId="164" fontId="74" fillId="0" borderId="42" xfId="77" applyNumberFormat="1" applyFont="1" applyBorder="1" applyAlignment="1" applyProtection="1">
      <alignment vertical="center"/>
      <protection hidden="1"/>
    </xf>
    <xf numFmtId="14" fontId="33" fillId="0" borderId="16" xfId="87" applyNumberFormat="1" applyFont="1" applyFill="1" applyBorder="1" applyAlignment="1">
      <alignment horizontal="left" vertical="center" wrapText="1"/>
    </xf>
    <xf numFmtId="0" fontId="32" fillId="0" borderId="0" xfId="52" applyFont="1"/>
    <xf numFmtId="0" fontId="32" fillId="0" borderId="0" xfId="52" applyFont="1" applyAlignment="1">
      <alignment horizontal="center" vertical="center"/>
    </xf>
    <xf numFmtId="0" fontId="35" fillId="0" borderId="0" xfId="52" applyFont="1" applyAlignment="1">
      <alignment vertical="center"/>
    </xf>
    <xf numFmtId="0" fontId="35" fillId="0" borderId="2" xfId="52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0" fontId="75" fillId="0" borderId="2" xfId="52" applyFont="1" applyBorder="1" applyAlignment="1">
      <alignment horizontal="left" vertical="center"/>
    </xf>
    <xf numFmtId="0" fontId="75" fillId="0" borderId="2" xfId="52" applyFont="1" applyBorder="1" applyAlignment="1">
      <alignment horizontal="center" vertical="center"/>
    </xf>
    <xf numFmtId="0" fontId="75" fillId="0" borderId="2" xfId="52" quotePrefix="1" applyFont="1" applyBorder="1" applyAlignment="1">
      <alignment horizontal="center" vertical="center"/>
    </xf>
    <xf numFmtId="0" fontId="75" fillId="0" borderId="0" xfId="52" applyFont="1" applyAlignment="1">
      <alignment vertical="center"/>
    </xf>
    <xf numFmtId="0" fontId="75" fillId="0" borderId="12" xfId="52" applyFont="1" applyBorder="1" applyAlignment="1">
      <alignment horizontal="left" vertical="center"/>
    </xf>
    <xf numFmtId="14" fontId="75" fillId="0" borderId="12" xfId="52" applyNumberFormat="1" applyFont="1" applyBorder="1" applyAlignment="1">
      <alignment horizontal="center" vertical="center"/>
    </xf>
    <xf numFmtId="0" fontId="75" fillId="0" borderId="12" xfId="52" applyFont="1" applyBorder="1" applyAlignment="1">
      <alignment vertical="center"/>
    </xf>
    <xf numFmtId="164" fontId="75" fillId="0" borderId="12" xfId="88" applyNumberFormat="1" applyFont="1" applyBorder="1" applyAlignment="1">
      <alignment vertical="center"/>
    </xf>
    <xf numFmtId="0" fontId="75" fillId="0" borderId="22" xfId="52" applyFont="1" applyBorder="1" applyAlignment="1">
      <alignment horizontal="left" vertical="center"/>
    </xf>
    <xf numFmtId="14" fontId="75" fillId="0" borderId="22" xfId="52" applyNumberFormat="1" applyFont="1" applyBorder="1" applyAlignment="1">
      <alignment horizontal="center" vertical="center"/>
    </xf>
    <xf numFmtId="0" fontId="75" fillId="0" borderId="22" xfId="52" applyFont="1" applyBorder="1" applyAlignment="1">
      <alignment vertical="center"/>
    </xf>
    <xf numFmtId="164" fontId="75" fillId="0" borderId="22" xfId="88" applyNumberFormat="1" applyFont="1" applyBorder="1" applyAlignment="1">
      <alignment vertical="center"/>
    </xf>
    <xf numFmtId="14" fontId="32" fillId="0" borderId="16" xfId="52" applyNumberFormat="1" applyFont="1" applyBorder="1" applyAlignment="1">
      <alignment horizontal="center" vertical="center"/>
    </xf>
    <xf numFmtId="164" fontId="32" fillId="0" borderId="16" xfId="88" applyNumberFormat="1" applyFont="1" applyBorder="1" applyAlignment="1">
      <alignment vertical="center"/>
    </xf>
    <xf numFmtId="0" fontId="75" fillId="0" borderId="16" xfId="52" applyFont="1" applyBorder="1" applyAlignment="1">
      <alignment horizontal="left" vertical="center"/>
    </xf>
    <xf numFmtId="0" fontId="75" fillId="0" borderId="16" xfId="52" applyFont="1" applyBorder="1" applyAlignment="1">
      <alignment horizontal="center" vertical="center"/>
    </xf>
    <xf numFmtId="0" fontId="75" fillId="0" borderId="2" xfId="52" applyFont="1" applyBorder="1" applyAlignment="1">
      <alignment vertical="center"/>
    </xf>
    <xf numFmtId="164" fontId="75" fillId="0" borderId="2" xfId="88" applyNumberFormat="1" applyFont="1" applyBorder="1" applyAlignment="1">
      <alignment vertical="center"/>
    </xf>
    <xf numFmtId="0" fontId="75" fillId="0" borderId="19" xfId="52" applyFont="1" applyBorder="1" applyAlignment="1">
      <alignment horizontal="left" vertical="center"/>
    </xf>
    <xf numFmtId="0" fontId="75" fillId="0" borderId="19" xfId="52" applyFont="1" applyBorder="1" applyAlignment="1">
      <alignment horizontal="center" vertical="center"/>
    </xf>
    <xf numFmtId="0" fontId="32" fillId="0" borderId="0" xfId="52" quotePrefix="1" applyFont="1" applyAlignment="1">
      <alignment horizontal="left" vertical="center"/>
    </xf>
    <xf numFmtId="0" fontId="33" fillId="0" borderId="0" xfId="87" quotePrefix="1" applyFont="1" applyAlignment="1">
      <alignment horizontal="left" vertical="center"/>
    </xf>
    <xf numFmtId="0" fontId="33" fillId="0" borderId="0" xfId="87" applyFont="1" applyBorder="1" applyAlignment="1">
      <alignment vertical="center"/>
    </xf>
    <xf numFmtId="14" fontId="32" fillId="0" borderId="16" xfId="52" applyNumberFormat="1" applyFont="1" applyBorder="1" applyAlignment="1">
      <alignment horizontal="left" vertical="center"/>
    </xf>
    <xf numFmtId="0" fontId="32" fillId="0" borderId="16" xfId="52" applyFont="1" applyBorder="1" applyAlignment="1">
      <alignment horizontal="center" vertical="center"/>
    </xf>
    <xf numFmtId="164" fontId="32" fillId="0" borderId="16" xfId="29" applyNumberFormat="1" applyFont="1" applyBorder="1" applyAlignment="1">
      <alignment horizontal="left" vertical="center"/>
    </xf>
    <xf numFmtId="0" fontId="25" fillId="0" borderId="0" xfId="53" applyFont="1" applyAlignment="1">
      <alignment vertical="center"/>
    </xf>
    <xf numFmtId="0" fontId="38" fillId="21" borderId="2" xfId="34" applyFont="1" applyBorder="1" applyAlignment="1">
      <alignment horizontal="centerContinuous" vertical="center" wrapText="1"/>
    </xf>
    <xf numFmtId="14" fontId="33" fillId="0" borderId="16" xfId="46" applyNumberFormat="1" applyFont="1" applyBorder="1" applyAlignment="1">
      <alignment horizontal="center" vertical="center"/>
    </xf>
    <xf numFmtId="43" fontId="33" fillId="0" borderId="16" xfId="29" applyFont="1" applyBorder="1" applyAlignment="1">
      <alignment vertical="center"/>
    </xf>
    <xf numFmtId="43" fontId="33" fillId="0" borderId="22" xfId="29" applyFont="1" applyBorder="1" applyAlignment="1">
      <alignment horizontal="center"/>
    </xf>
    <xf numFmtId="164" fontId="33" fillId="0" borderId="22" xfId="29" applyNumberFormat="1" applyFont="1" applyBorder="1" applyAlignment="1">
      <alignment horizontal="center"/>
    </xf>
    <xf numFmtId="3" fontId="33" fillId="0" borderId="16" xfId="46" applyFont="1" applyBorder="1" applyAlignment="1">
      <alignment vertical="center" wrapText="1"/>
    </xf>
    <xf numFmtId="14" fontId="33" fillId="0" borderId="16" xfId="46" applyNumberFormat="1" applyFont="1" applyBorder="1" applyAlignment="1">
      <alignment horizontal="center" vertical="center" wrapText="1"/>
    </xf>
    <xf numFmtId="164" fontId="25" fillId="0" borderId="0" xfId="53" applyNumberFormat="1" applyFont="1" applyAlignment="1">
      <alignment vertical="center"/>
    </xf>
    <xf numFmtId="164" fontId="38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vertical="center" wrapText="1"/>
    </xf>
    <xf numFmtId="14" fontId="33" fillId="0" borderId="16" xfId="54" applyNumberFormat="1" applyFont="1" applyFill="1" applyBorder="1" applyAlignment="1">
      <alignment horizontal="center" vertical="center"/>
    </xf>
    <xf numFmtId="0" fontId="33" fillId="0" borderId="0" xfId="52" quotePrefix="1" applyFont="1" applyAlignment="1">
      <alignment vertical="center"/>
    </xf>
    <xf numFmtId="0" fontId="2" fillId="0" borderId="0" xfId="89" applyFont="1" applyAlignment="1">
      <alignment vertical="center"/>
    </xf>
    <xf numFmtId="0" fontId="2" fillId="0" borderId="0" xfId="89" applyAlignment="1">
      <alignment vertical="center"/>
    </xf>
    <xf numFmtId="14" fontId="69" fillId="29" borderId="0" xfId="0" applyNumberFormat="1" applyFont="1" applyFill="1" applyAlignment="1">
      <alignment vertical="center"/>
    </xf>
    <xf numFmtId="14" fontId="33" fillId="0" borderId="0" xfId="54" applyNumberFormat="1" applyFont="1" applyAlignment="1">
      <alignment horizontal="center" vertical="center"/>
    </xf>
    <xf numFmtId="164" fontId="38" fillId="0" borderId="0" xfId="54" applyNumberFormat="1" applyFont="1" applyAlignment="1">
      <alignment horizontal="center" vertical="center"/>
    </xf>
    <xf numFmtId="0" fontId="69" fillId="29" borderId="0" xfId="0" applyFont="1" applyFill="1" applyAlignment="1">
      <alignment vertical="center"/>
    </xf>
    <xf numFmtId="0" fontId="38" fillId="0" borderId="0" xfId="52" applyFont="1" applyAlignment="1">
      <alignment vertical="center"/>
    </xf>
    <xf numFmtId="0" fontId="33" fillId="0" borderId="0" xfId="52" applyFont="1" applyBorder="1" applyAlignment="1">
      <alignment vertical="center"/>
    </xf>
    <xf numFmtId="14" fontId="33" fillId="0" borderId="0" xfId="52" applyNumberFormat="1" applyFont="1" applyAlignment="1">
      <alignment vertical="center"/>
    </xf>
    <xf numFmtId="14" fontId="33" fillId="0" borderId="0" xfId="52" applyNumberFormat="1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8" fillId="0" borderId="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 shrinkToFit="1"/>
    </xf>
    <xf numFmtId="0" fontId="38" fillId="0" borderId="2" xfId="52" applyFont="1" applyBorder="1" applyAlignment="1">
      <alignment horizontal="center" vertical="center" wrapText="1" shrinkToFit="1"/>
    </xf>
    <xf numFmtId="0" fontId="38" fillId="0" borderId="0" xfId="52" applyFont="1" applyBorder="1" applyAlignment="1">
      <alignment horizontal="center" vertical="center" wrapText="1" shrinkToFit="1"/>
    </xf>
    <xf numFmtId="0" fontId="76" fillId="0" borderId="2" xfId="52" applyFont="1" applyBorder="1" applyAlignment="1">
      <alignment vertical="center"/>
    </xf>
    <xf numFmtId="0" fontId="76" fillId="0" borderId="20" xfId="52" applyFont="1" applyBorder="1" applyAlignment="1">
      <alignment vertical="center"/>
    </xf>
    <xf numFmtId="0" fontId="76" fillId="0" borderId="2" xfId="52" applyFont="1" applyBorder="1" applyAlignment="1">
      <alignment horizontal="center" vertical="center"/>
    </xf>
    <xf numFmtId="14" fontId="76" fillId="0" borderId="2" xfId="52" applyNumberFormat="1" applyFont="1" applyBorder="1" applyAlignment="1">
      <alignment horizontal="center" vertical="center"/>
    </xf>
    <xf numFmtId="0" fontId="76" fillId="0" borderId="0" xfId="52" applyFont="1" applyBorder="1" applyAlignment="1">
      <alignment horizontal="center" vertical="center"/>
    </xf>
    <xf numFmtId="0" fontId="76" fillId="0" borderId="0" xfId="52" applyFont="1" applyAlignment="1">
      <alignment vertical="center"/>
    </xf>
    <xf numFmtId="0" fontId="38" fillId="0" borderId="12" xfId="52" applyFont="1" applyBorder="1" applyAlignment="1">
      <alignment vertical="center"/>
    </xf>
    <xf numFmtId="0" fontId="38" fillId="0" borderId="12" xfId="52" quotePrefix="1" applyFont="1" applyBorder="1" applyAlignment="1">
      <alignment vertical="center"/>
    </xf>
    <xf numFmtId="0" fontId="38" fillId="0" borderId="12" xfId="52" applyFont="1" applyBorder="1" applyAlignment="1">
      <alignment horizontal="center" vertical="center"/>
    </xf>
    <xf numFmtId="14" fontId="38" fillId="0" borderId="12" xfId="52" applyNumberFormat="1" applyFont="1" applyBorder="1" applyAlignment="1">
      <alignment horizontal="center" vertical="center"/>
    </xf>
    <xf numFmtId="0" fontId="38" fillId="0" borderId="0" xfId="52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vertical="center"/>
    </xf>
    <xf numFmtId="14" fontId="33" fillId="0" borderId="25" xfId="52" applyNumberFormat="1" applyFont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 wrapText="1"/>
    </xf>
    <xf numFmtId="0" fontId="33" fillId="0" borderId="16" xfId="52" quotePrefix="1" applyFont="1" applyBorder="1" applyAlignment="1">
      <alignment horizontal="center" vertical="center"/>
    </xf>
    <xf numFmtId="14" fontId="69" fillId="29" borderId="16" xfId="29" applyNumberFormat="1" applyFont="1" applyFill="1" applyBorder="1" applyAlignment="1">
      <alignment horizontal="center" vertical="center" wrapText="1"/>
    </xf>
    <xf numFmtId="173" fontId="33" fillId="0" borderId="0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vertical="center"/>
    </xf>
    <xf numFmtId="0" fontId="33" fillId="0" borderId="21" xfId="52" applyFont="1" applyBorder="1" applyAlignment="1">
      <alignment vertical="center"/>
    </xf>
    <xf numFmtId="0" fontId="33" fillId="0" borderId="21" xfId="52" applyFont="1" applyBorder="1" applyAlignment="1">
      <alignment horizontal="center" vertical="center"/>
    </xf>
    <xf numFmtId="14" fontId="33" fillId="0" borderId="21" xfId="52" applyNumberFormat="1" applyFont="1" applyBorder="1" applyAlignment="1">
      <alignment horizontal="center" vertical="center"/>
    </xf>
    <xf numFmtId="164" fontId="33" fillId="0" borderId="0" xfId="52" applyNumberFormat="1" applyFont="1" applyBorder="1" applyAlignment="1">
      <alignment horizontal="center" vertical="center"/>
    </xf>
    <xf numFmtId="14" fontId="38" fillId="0" borderId="16" xfId="54" applyNumberFormat="1" applyFont="1" applyFill="1" applyBorder="1" applyAlignment="1">
      <alignment horizontal="center" vertical="center"/>
    </xf>
    <xf numFmtId="0" fontId="38" fillId="0" borderId="2" xfId="52" quotePrefix="1" applyFont="1" applyBorder="1" applyAlignment="1">
      <alignment vertical="center"/>
    </xf>
    <xf numFmtId="0" fontId="38" fillId="0" borderId="2" xfId="52" applyFont="1" applyBorder="1" applyAlignment="1">
      <alignment horizontal="center" vertical="center"/>
    </xf>
    <xf numFmtId="14" fontId="38" fillId="0" borderId="2" xfId="52" applyNumberFormat="1" applyFont="1" applyBorder="1" applyAlignment="1">
      <alignment horizontal="center" vertical="center"/>
    </xf>
    <xf numFmtId="43" fontId="38" fillId="0" borderId="2" xfId="52" applyNumberFormat="1" applyFont="1" applyBorder="1" applyAlignment="1">
      <alignment horizontal="center" vertical="center"/>
    </xf>
    <xf numFmtId="164" fontId="38" fillId="0" borderId="2" xfId="52" applyNumberFormat="1" applyFont="1" applyBorder="1" applyAlignment="1">
      <alignment horizontal="center" vertical="center"/>
    </xf>
    <xf numFmtId="43" fontId="38" fillId="0" borderId="0" xfId="52" applyNumberFormat="1" applyFont="1" applyBorder="1" applyAlignment="1">
      <alignment horizontal="center" vertical="center"/>
    </xf>
    <xf numFmtId="164" fontId="38" fillId="0" borderId="0" xfId="52" applyNumberFormat="1" applyFont="1" applyBorder="1" applyAlignment="1">
      <alignment horizontal="center" vertical="center"/>
    </xf>
    <xf numFmtId="0" fontId="38" fillId="0" borderId="19" xfId="52" applyFont="1" applyBorder="1" applyAlignment="1">
      <alignment vertical="center"/>
    </xf>
    <xf numFmtId="174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7" fillId="0" borderId="0" xfId="54" applyFont="1" applyAlignment="1">
      <alignment horizontal="center" vertical="center"/>
    </xf>
    <xf numFmtId="164" fontId="38" fillId="0" borderId="12" xfId="29" applyNumberFormat="1" applyFont="1" applyBorder="1" applyAlignment="1">
      <alignment vertical="center"/>
    </xf>
    <xf numFmtId="0" fontId="33" fillId="0" borderId="16" xfId="0" applyFont="1" applyFill="1" applyBorder="1" applyAlignment="1">
      <alignment horizontal="left" vertical="center" wrapText="1"/>
    </xf>
    <xf numFmtId="164" fontId="33" fillId="0" borderId="16" xfId="29" applyNumberFormat="1" applyFont="1" applyFill="1" applyBorder="1" applyAlignment="1">
      <alignment horizontal="right" vertical="center" wrapText="1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2" fillId="0" borderId="0" xfId="52" applyFont="1" applyAlignment="1">
      <alignment horizontal="right" vertical="center"/>
    </xf>
    <xf numFmtId="49" fontId="32" fillId="0" borderId="0" xfId="52" applyNumberFormat="1" applyFont="1" applyAlignment="1">
      <alignment vertical="center"/>
    </xf>
    <xf numFmtId="0" fontId="32" fillId="0" borderId="17" xfId="52" applyFont="1" applyBorder="1" applyAlignment="1">
      <alignment horizontal="center" vertical="center" wrapText="1" shrinkToFit="1"/>
    </xf>
    <xf numFmtId="14" fontId="32" fillId="0" borderId="12" xfId="52" applyNumberFormat="1" applyFont="1" applyBorder="1" applyAlignment="1">
      <alignment horizontal="center" vertical="center"/>
    </xf>
    <xf numFmtId="0" fontId="32" fillId="0" borderId="12" xfId="52" applyFont="1" applyBorder="1" applyAlignment="1">
      <alignment horizontal="center" vertical="center"/>
    </xf>
    <xf numFmtId="0" fontId="32" fillId="0" borderId="12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vertical="center"/>
    </xf>
    <xf numFmtId="164" fontId="32" fillId="0" borderId="16" xfId="74" applyNumberFormat="1" applyFont="1" applyBorder="1" applyAlignment="1">
      <alignment horizontal="left" vertical="center"/>
    </xf>
    <xf numFmtId="164" fontId="32" fillId="0" borderId="16" xfId="74" applyNumberFormat="1" applyFont="1" applyBorder="1" applyAlignment="1">
      <alignment horizontal="center" vertical="center"/>
    </xf>
    <xf numFmtId="0" fontId="32" fillId="0" borderId="16" xfId="52" applyFont="1" applyBorder="1" applyAlignment="1">
      <alignment vertical="center"/>
    </xf>
    <xf numFmtId="0" fontId="32" fillId="0" borderId="16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horizontal="center" vertical="center"/>
    </xf>
    <xf numFmtId="14" fontId="32" fillId="0" borderId="19" xfId="52" applyNumberFormat="1" applyFont="1" applyBorder="1" applyAlignment="1">
      <alignment horizontal="center" vertical="center"/>
    </xf>
    <xf numFmtId="0" fontId="32" fillId="0" borderId="19" xfId="52" applyFont="1" applyBorder="1" applyAlignment="1">
      <alignment horizontal="center" vertical="center"/>
    </xf>
    <xf numFmtId="0" fontId="32" fillId="0" borderId="19" xfId="52" quotePrefix="1" applyFont="1" applyBorder="1" applyAlignment="1">
      <alignment vertical="center"/>
    </xf>
    <xf numFmtId="164" fontId="32" fillId="0" borderId="19" xfId="54" applyNumberFormat="1" applyFont="1" applyBorder="1" applyAlignment="1">
      <alignment horizontal="center" vertical="center"/>
    </xf>
    <xf numFmtId="164" fontId="32" fillId="0" borderId="19" xfId="74" applyNumberFormat="1" applyFont="1" applyBorder="1" applyAlignment="1">
      <alignment horizontal="center" vertical="center"/>
    </xf>
    <xf numFmtId="43" fontId="32" fillId="0" borderId="0" xfId="74" applyFont="1" applyAlignment="1">
      <alignment vertical="center"/>
    </xf>
    <xf numFmtId="164" fontId="32" fillId="0" borderId="0" xfId="52" applyNumberFormat="1" applyFont="1" applyAlignment="1">
      <alignment vertical="center"/>
    </xf>
    <xf numFmtId="0" fontId="33" fillId="0" borderId="0" xfId="54" applyFont="1" applyFill="1" applyAlignment="1">
      <alignment horizontal="left" vertical="center"/>
    </xf>
    <xf numFmtId="49" fontId="33" fillId="0" borderId="0" xfId="90" applyNumberFormat="1" applyFont="1" applyFill="1" applyAlignment="1">
      <alignment horizontal="left" vertical="center"/>
    </xf>
    <xf numFmtId="0" fontId="38" fillId="0" borderId="0" xfId="54" applyFont="1" applyFill="1" applyAlignment="1">
      <alignment horizontal="center" vertical="center" wrapText="1"/>
    </xf>
    <xf numFmtId="0" fontId="38" fillId="0" borderId="0" xfId="54" applyFont="1" applyFill="1" applyAlignment="1">
      <alignment vertical="center" wrapText="1"/>
    </xf>
    <xf numFmtId="0" fontId="33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horizontal="center" vertical="center"/>
    </xf>
    <xf numFmtId="0" fontId="33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vertical="center" wrapText="1"/>
    </xf>
    <xf numFmtId="0" fontId="33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8" fillId="0" borderId="0" xfId="54" applyFont="1" applyFill="1" applyAlignment="1">
      <alignment horizontal="center" vertical="center"/>
    </xf>
    <xf numFmtId="0" fontId="32" fillId="0" borderId="0" xfId="54" applyFont="1" applyFill="1" applyAlignment="1">
      <alignment vertical="center"/>
    </xf>
    <xf numFmtId="0" fontId="32" fillId="0" borderId="0" xfId="54" applyFont="1" applyFill="1" applyAlignment="1">
      <alignment horizontal="center" vertical="center"/>
    </xf>
    <xf numFmtId="0" fontId="33" fillId="0" borderId="2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3" fillId="0" borderId="22" xfId="54" applyNumberFormat="1" applyFont="1" applyFill="1" applyBorder="1" applyAlignment="1">
      <alignment horizontal="center" vertical="center"/>
    </xf>
    <xf numFmtId="164" fontId="33" fillId="0" borderId="43" xfId="54" applyNumberFormat="1" applyFont="1" applyFill="1" applyBorder="1" applyAlignment="1">
      <alignment horizontal="center" vertical="center"/>
    </xf>
    <xf numFmtId="164" fontId="38" fillId="0" borderId="22" xfId="54" applyNumberFormat="1" applyFont="1" applyFill="1" applyBorder="1" applyAlignment="1">
      <alignment horizontal="left" vertical="center"/>
    </xf>
    <xf numFmtId="164" fontId="32" fillId="0" borderId="16" xfId="77" applyNumberFormat="1" applyFont="1" applyFill="1" applyBorder="1" applyAlignment="1">
      <alignment vertical="center"/>
    </xf>
    <xf numFmtId="0" fontId="33" fillId="0" borderId="12" xfId="54" applyNumberFormat="1" applyFont="1" applyFill="1" applyBorder="1" applyAlignment="1">
      <alignment horizontal="center" vertical="center"/>
    </xf>
    <xf numFmtId="164" fontId="33" fillId="0" borderId="22" xfId="54" applyNumberFormat="1" applyFont="1" applyFill="1" applyBorder="1" applyAlignment="1">
      <alignment horizontal="center" vertical="center"/>
    </xf>
    <xf numFmtId="164" fontId="33" fillId="0" borderId="22" xfId="74" applyNumberFormat="1" applyFont="1" applyFill="1" applyBorder="1" applyAlignment="1">
      <alignment horizontal="center" vertical="center"/>
    </xf>
    <xf numFmtId="164" fontId="33" fillId="0" borderId="0" xfId="54" applyNumberFormat="1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 wrapText="1"/>
    </xf>
    <xf numFmtId="0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74" applyNumberFormat="1" applyFont="1" applyFill="1" applyBorder="1" applyAlignment="1">
      <alignment horizontal="center" vertical="center"/>
    </xf>
    <xf numFmtId="14" fontId="33" fillId="0" borderId="16" xfId="54" quotePrefix="1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4" fillId="0" borderId="44" xfId="77" applyNumberFormat="1" applyFont="1" applyFill="1" applyBorder="1" applyAlignment="1">
      <alignment horizontal="center"/>
    </xf>
    <xf numFmtId="0" fontId="33" fillId="0" borderId="16" xfId="54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left" vertical="center"/>
    </xf>
    <xf numFmtId="0" fontId="33" fillId="0" borderId="19" xfId="54" applyNumberFormat="1" applyFont="1" applyFill="1" applyBorder="1" applyAlignment="1">
      <alignment horizontal="center" vertical="center"/>
    </xf>
    <xf numFmtId="164" fontId="33" fillId="0" borderId="19" xfId="74" applyNumberFormat="1" applyFont="1" applyFill="1" applyBorder="1" applyAlignment="1">
      <alignment vertical="center"/>
    </xf>
    <xf numFmtId="164" fontId="33" fillId="0" borderId="2" xfId="54" applyNumberFormat="1" applyFont="1" applyFill="1" applyBorder="1" applyAlignment="1">
      <alignment horizontal="center" vertical="center"/>
    </xf>
    <xf numFmtId="164" fontId="33" fillId="0" borderId="20" xfId="54" applyNumberFormat="1" applyFont="1" applyFill="1" applyBorder="1" applyAlignment="1">
      <alignment horizontal="center" vertical="center"/>
    </xf>
    <xf numFmtId="164" fontId="38" fillId="0" borderId="2" xfId="54" applyNumberFormat="1" applyFont="1" applyFill="1" applyBorder="1" applyAlignment="1">
      <alignment horizontal="left" vertical="center"/>
    </xf>
    <xf numFmtId="0" fontId="33" fillId="0" borderId="2" xfId="54" applyNumberFormat="1" applyFont="1" applyFill="1" applyBorder="1" applyAlignment="1">
      <alignment horizontal="center" vertical="center"/>
    </xf>
    <xf numFmtId="164" fontId="33" fillId="0" borderId="2" xfId="74" applyNumberFormat="1" applyFont="1" applyFill="1" applyBorder="1" applyAlignment="1">
      <alignment horizontal="center" vertical="center"/>
    </xf>
    <xf numFmtId="0" fontId="33" fillId="0" borderId="0" xfId="54" applyFont="1" applyFill="1" applyBorder="1" applyAlignment="1">
      <alignment horizontal="left" vertical="center"/>
    </xf>
    <xf numFmtId="0" fontId="33" fillId="0" borderId="0" xfId="54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horizontal="center" vertical="center"/>
    </xf>
    <xf numFmtId="164" fontId="33" fillId="0" borderId="0" xfId="74" applyNumberFormat="1" applyFont="1" applyFill="1" applyAlignment="1">
      <alignment horizontal="center" vertical="center"/>
    </xf>
    <xf numFmtId="0" fontId="33" fillId="0" borderId="0" xfId="90" applyFont="1" applyBorder="1" applyAlignment="1">
      <alignment horizontal="left" vertical="center"/>
    </xf>
    <xf numFmtId="0" fontId="33" fillId="0" borderId="0" xfId="90" applyFont="1" applyFill="1" applyAlignment="1">
      <alignment horizontal="center" vertical="center"/>
    </xf>
    <xf numFmtId="1" fontId="33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6" fillId="0" borderId="0" xfId="90" applyFont="1" applyAlignment="1">
      <alignment horizontal="center" vertical="center"/>
    </xf>
    <xf numFmtId="0" fontId="38" fillId="0" borderId="0" xfId="90" applyFont="1" applyAlignment="1">
      <alignment horizontal="center" vertical="center"/>
    </xf>
    <xf numFmtId="0" fontId="38" fillId="0" borderId="0" xfId="90" applyNumberFormat="1" applyFont="1" applyAlignment="1">
      <alignment horizontal="center" vertical="center"/>
    </xf>
    <xf numFmtId="0" fontId="33" fillId="0" borderId="0" xfId="90" applyFont="1" applyAlignment="1">
      <alignment horizontal="center" vertical="center"/>
    </xf>
    <xf numFmtId="0" fontId="33" fillId="0" borderId="0" xfId="90" applyNumberFormat="1" applyFont="1" applyAlignment="1">
      <alignment horizontal="center" vertical="center"/>
    </xf>
    <xf numFmtId="164" fontId="33" fillId="0" borderId="19" xfId="54" applyNumberFormat="1" applyFont="1" applyFill="1" applyBorder="1" applyAlignment="1">
      <alignment vertical="center"/>
    </xf>
    <xf numFmtId="43" fontId="33" fillId="0" borderId="0" xfId="74" applyFont="1" applyFill="1" applyAlignment="1">
      <alignment horizontal="center" vertical="center"/>
    </xf>
    <xf numFmtId="43" fontId="33" fillId="0" borderId="0" xfId="74" applyFont="1" applyFill="1" applyAlignment="1">
      <alignment horizontal="center" vertical="center" wrapText="1"/>
    </xf>
    <xf numFmtId="0" fontId="21" fillId="0" borderId="0" xfId="54" applyFont="1" applyFill="1" applyAlignment="1">
      <alignment vertical="center"/>
    </xf>
    <xf numFmtId="164" fontId="33" fillId="0" borderId="44" xfId="54" applyNumberFormat="1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vertical="center"/>
    </xf>
    <xf numFmtId="14" fontId="40" fillId="0" borderId="16" xfId="77" applyNumberFormat="1" applyFont="1" applyBorder="1" applyAlignment="1">
      <alignment horizontal="center" vertical="center" wrapText="1"/>
    </xf>
    <xf numFmtId="14" fontId="40" fillId="0" borderId="16" xfId="54" applyNumberFormat="1" applyFont="1" applyFill="1" applyBorder="1" applyAlignment="1">
      <alignment horizontal="center" vertical="center"/>
    </xf>
    <xf numFmtId="164" fontId="40" fillId="0" borderId="16" xfId="54" applyNumberFormat="1" applyFont="1" applyFill="1" applyBorder="1" applyAlignment="1">
      <alignment horizontal="left" vertical="center"/>
    </xf>
    <xf numFmtId="164" fontId="40" fillId="0" borderId="16" xfId="77" applyNumberFormat="1" applyFont="1" applyFill="1" applyBorder="1" applyAlignment="1">
      <alignment vertical="center"/>
    </xf>
    <xf numFmtId="0" fontId="40" fillId="0" borderId="16" xfId="54" quotePrefix="1" applyNumberFormat="1" applyFont="1" applyFill="1" applyBorder="1" applyAlignment="1">
      <alignment horizontal="center" vertical="center"/>
    </xf>
    <xf numFmtId="164" fontId="40" fillId="0" borderId="0" xfId="54" applyNumberFormat="1" applyFont="1" applyFill="1" applyAlignment="1">
      <alignment horizontal="center" vertical="center"/>
    </xf>
    <xf numFmtId="14" fontId="33" fillId="0" borderId="44" xfId="54" applyNumberFormat="1" applyFont="1" applyFill="1" applyBorder="1" applyAlignment="1">
      <alignment horizontal="center" vertical="center"/>
    </xf>
    <xf numFmtId="0" fontId="76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vertical="center"/>
    </xf>
    <xf numFmtId="43" fontId="38" fillId="0" borderId="0" xfId="74" applyFont="1" applyFill="1" applyAlignment="1">
      <alignment horizontal="center" vertical="center"/>
    </xf>
    <xf numFmtId="0" fontId="38" fillId="0" borderId="0" xfId="54" applyNumberFormat="1" applyFont="1" applyFill="1" applyAlignment="1">
      <alignment horizontal="center" vertical="center"/>
    </xf>
    <xf numFmtId="164" fontId="38" fillId="0" borderId="0" xfId="54" applyNumberFormat="1" applyFont="1" applyFill="1" applyAlignment="1">
      <alignment horizontal="center" vertical="center"/>
    </xf>
    <xf numFmtId="0" fontId="38" fillId="0" borderId="0" xfId="54" applyNumberFormat="1" applyFont="1" applyFill="1" applyAlignment="1">
      <alignment vertical="center"/>
    </xf>
    <xf numFmtId="0" fontId="44" fillId="0" borderId="0" xfId="76" applyFont="1" applyFill="1" applyAlignment="1">
      <alignment horizontal="center" vertical="center"/>
    </xf>
    <xf numFmtId="0" fontId="35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center" vertical="center" wrapText="1"/>
    </xf>
    <xf numFmtId="0" fontId="33" fillId="0" borderId="18" xfId="76" applyFont="1" applyFill="1" applyBorder="1" applyAlignment="1">
      <alignment horizontal="center" vertical="center" wrapText="1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49" fontId="33" fillId="0" borderId="2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31" xfId="76" quotePrefix="1" applyNumberFormat="1" applyFont="1" applyFill="1" applyBorder="1" applyAlignment="1">
      <alignment horizontal="center" vertical="center" wrapText="1"/>
    </xf>
    <xf numFmtId="0" fontId="33" fillId="0" borderId="34" xfId="76" quotePrefix="1" applyNumberFormat="1" applyFont="1" applyFill="1" applyBorder="1" applyAlignment="1">
      <alignment horizontal="center" vertical="center" wrapText="1"/>
    </xf>
    <xf numFmtId="0" fontId="33" fillId="0" borderId="24" xfId="76" quotePrefix="1" applyNumberFormat="1" applyFont="1" applyFill="1" applyBorder="1" applyAlignment="1">
      <alignment horizontal="center" vertical="center" wrapText="1"/>
    </xf>
    <xf numFmtId="0" fontId="33" fillId="0" borderId="35" xfId="76" quotePrefix="1" applyNumberFormat="1" applyFont="1" applyFill="1" applyBorder="1" applyAlignment="1">
      <alignment horizontal="center" vertical="center" wrapText="1"/>
    </xf>
    <xf numFmtId="0" fontId="33" fillId="0" borderId="2" xfId="54" applyFont="1" applyFill="1" applyBorder="1" applyAlignment="1">
      <alignment horizontal="center" vertical="center" wrapText="1"/>
    </xf>
    <xf numFmtId="0" fontId="33" fillId="0" borderId="2" xfId="54" applyFont="1" applyFill="1" applyBorder="1" applyAlignment="1">
      <alignment horizontal="center" vertical="center"/>
    </xf>
    <xf numFmtId="0" fontId="38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5" fillId="0" borderId="0" xfId="54" applyFont="1" applyFill="1" applyAlignment="1">
      <alignment horizontal="center" vertical="center"/>
    </xf>
    <xf numFmtId="0" fontId="33" fillId="0" borderId="17" xfId="54" applyFont="1" applyFill="1" applyBorder="1" applyAlignment="1">
      <alignment horizontal="center" vertical="center"/>
    </xf>
    <xf numFmtId="0" fontId="33" fillId="0" borderId="18" xfId="54" applyFont="1" applyFill="1" applyBorder="1" applyAlignment="1">
      <alignment horizontal="center" vertical="center"/>
    </xf>
    <xf numFmtId="0" fontId="33" fillId="0" borderId="5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43" fontId="44" fillId="0" borderId="0" xfId="74" applyFont="1" applyFill="1" applyAlignment="1">
      <alignment horizontal="center" vertical="center"/>
    </xf>
    <xf numFmtId="0" fontId="38" fillId="21" borderId="26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164" fontId="33" fillId="0" borderId="23" xfId="29" applyNumberFormat="1" applyFont="1" applyBorder="1" applyAlignment="1">
      <alignment horizontal="center" vertical="center"/>
    </xf>
    <xf numFmtId="0" fontId="37" fillId="0" borderId="24" xfId="58" applyFont="1" applyBorder="1" applyAlignment="1">
      <alignment horizontal="center" vertical="center"/>
    </xf>
    <xf numFmtId="0" fontId="38" fillId="21" borderId="17" xfId="53" applyFont="1" applyFill="1" applyBorder="1" applyAlignment="1">
      <alignment horizontal="center" vertical="center"/>
    </xf>
    <xf numFmtId="0" fontId="38" fillId="21" borderId="25" xfId="53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5" xfId="34" applyFont="1" applyBorder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24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6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21" fillId="0" borderId="0" xfId="52" applyFont="1" applyAlignment="1">
      <alignment horizontal="center" vertical="center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164" fontId="21" fillId="0" borderId="0" xfId="77" applyNumberFormat="1" applyFont="1" applyAlignment="1">
      <alignment horizontal="center" vertical="center"/>
    </xf>
    <xf numFmtId="164" fontId="32" fillId="0" borderId="0" xfId="77" applyNumberFormat="1" applyFont="1" applyAlignment="1">
      <alignment horizontal="center" vertical="center"/>
    </xf>
    <xf numFmtId="164" fontId="32" fillId="0" borderId="17" xfId="77" applyNumberFormat="1" applyFont="1" applyBorder="1" applyAlignment="1">
      <alignment horizontal="center" vertical="center" wrapText="1"/>
    </xf>
    <xf numFmtId="164" fontId="32" fillId="0" borderId="18" xfId="77" applyNumberFormat="1" applyFont="1" applyBorder="1" applyAlignment="1">
      <alignment horizontal="center" vertical="center" wrapText="1"/>
    </xf>
    <xf numFmtId="164" fontId="32" fillId="0" borderId="2" xfId="77" applyNumberFormat="1" applyFont="1" applyBorder="1" applyAlignment="1">
      <alignment horizontal="center" vertical="center" wrapText="1"/>
    </xf>
    <xf numFmtId="0" fontId="66" fillId="29" borderId="0" xfId="87" applyFont="1" applyFill="1" applyAlignment="1">
      <alignment horizontal="center" vertical="center"/>
    </xf>
    <xf numFmtId="0" fontId="67" fillId="29" borderId="0" xfId="87" applyFont="1" applyFill="1" applyAlignment="1">
      <alignment horizontal="center" vertical="center"/>
    </xf>
    <xf numFmtId="0" fontId="68" fillId="0" borderId="0" xfId="87" applyFont="1" applyAlignment="1">
      <alignment horizontal="center" vertical="center" wrapText="1"/>
    </xf>
    <xf numFmtId="0" fontId="32" fillId="0" borderId="0" xfId="87" applyFont="1" applyAlignment="1">
      <alignment horizontal="center" vertical="center"/>
    </xf>
    <xf numFmtId="14" fontId="69" fillId="29" borderId="17" xfId="87" applyNumberFormat="1" applyFont="1" applyFill="1" applyBorder="1" applyAlignment="1">
      <alignment horizontal="center" vertical="center" wrapText="1"/>
    </xf>
    <xf numFmtId="14" fontId="69" fillId="29" borderId="25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69" fillId="29" borderId="38" xfId="87" applyFont="1" applyFill="1" applyBorder="1" applyAlignment="1">
      <alignment horizontal="center" vertical="center" wrapText="1"/>
    </xf>
    <xf numFmtId="0" fontId="69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0" fontId="33" fillId="0" borderId="40" xfId="87" applyFont="1" applyFill="1" applyBorder="1" applyAlignment="1">
      <alignment horizontal="center" vertical="center" wrapText="1"/>
    </xf>
    <xf numFmtId="0" fontId="33" fillId="0" borderId="39" xfId="87" applyFont="1" applyFill="1" applyBorder="1" applyAlignment="1">
      <alignment horizontal="center" vertical="center" wrapText="1"/>
    </xf>
    <xf numFmtId="0" fontId="71" fillId="29" borderId="0" xfId="87" applyFont="1" applyFill="1" applyAlignment="1">
      <alignment horizontal="center" vertical="center" wrapText="1"/>
    </xf>
    <xf numFmtId="43" fontId="38" fillId="0" borderId="0" xfId="74" applyFont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33" fillId="0" borderId="0" xfId="87" applyFont="1" applyAlignment="1">
      <alignment horizontal="center" vertical="center"/>
    </xf>
    <xf numFmtId="164" fontId="35" fillId="0" borderId="0" xfId="54" applyNumberFormat="1" applyFont="1" applyAlignment="1">
      <alignment horizontal="center" vertical="center"/>
    </xf>
    <xf numFmtId="164" fontId="32" fillId="0" borderId="0" xfId="54" applyNumberFormat="1" applyFont="1" applyAlignment="1">
      <alignment horizontal="center" vertical="center"/>
    </xf>
    <xf numFmtId="0" fontId="37" fillId="0" borderId="0" xfId="52" applyFont="1" applyAlignment="1">
      <alignment horizontal="center"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3" fillId="0" borderId="0" xfId="52" applyFont="1" applyBorder="1" applyAlignment="1">
      <alignment horizontal="center" vertical="center"/>
    </xf>
    <xf numFmtId="49" fontId="33" fillId="0" borderId="0" xfId="52" applyNumberFormat="1" applyFont="1" applyAlignment="1">
      <alignment horizontal="left" vertical="center"/>
    </xf>
    <xf numFmtId="0" fontId="38" fillId="0" borderId="26" xfId="52" applyFont="1" applyBorder="1" applyAlignment="1">
      <alignment horizontal="center" vertical="center"/>
    </xf>
    <xf numFmtId="0" fontId="38" fillId="0" borderId="2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/>
    </xf>
    <xf numFmtId="0" fontId="38" fillId="0" borderId="18" xfId="52" applyFont="1" applyBorder="1" applyAlignment="1">
      <alignment horizontal="center" vertical="center" wrapText="1"/>
    </xf>
    <xf numFmtId="14" fontId="38" fillId="0" borderId="17" xfId="52" applyNumberFormat="1" applyFont="1" applyBorder="1" applyAlignment="1">
      <alignment horizontal="center" vertical="center" wrapText="1"/>
    </xf>
    <xf numFmtId="14" fontId="38" fillId="0" borderId="18" xfId="52" applyNumberFormat="1" applyFont="1" applyBorder="1" applyAlignment="1">
      <alignment horizontal="center" vertical="center" wrapText="1"/>
    </xf>
    <xf numFmtId="0" fontId="38" fillId="0" borderId="2" xfId="52" applyFont="1" applyBorder="1" applyAlignment="1">
      <alignment horizontal="center" vertical="center"/>
    </xf>
    <xf numFmtId="0" fontId="32" fillId="0" borderId="30" xfId="52" applyFont="1" applyBorder="1" applyAlignment="1">
      <alignment horizontal="center" vertical="center" wrapText="1"/>
    </xf>
    <xf numFmtId="0" fontId="65" fillId="0" borderId="31" xfId="52" applyFont="1" applyBorder="1" applyAlignment="1">
      <alignment horizontal="center" vertical="center" wrapText="1"/>
    </xf>
    <xf numFmtId="0" fontId="78" fillId="0" borderId="0" xfId="52" applyFont="1" applyAlignment="1">
      <alignment horizontal="center" vertical="center"/>
    </xf>
    <xf numFmtId="0" fontId="32" fillId="0" borderId="0" xfId="52" applyFont="1" applyAlignment="1">
      <alignment horizontal="center" vertical="center" wrapText="1"/>
    </xf>
    <xf numFmtId="0" fontId="32" fillId="0" borderId="0" xfId="52" applyFont="1" applyAlignment="1">
      <alignment horizontal="center" vertical="center"/>
    </xf>
    <xf numFmtId="0" fontId="32" fillId="0" borderId="0" xfId="52" quotePrefix="1" applyFont="1" applyAlignment="1">
      <alignment horizontal="center" vertical="center"/>
    </xf>
    <xf numFmtId="0" fontId="32" fillId="0" borderId="24" xfId="52" applyFont="1" applyBorder="1" applyAlignment="1">
      <alignment horizontal="center" vertical="center"/>
    </xf>
    <xf numFmtId="0" fontId="32" fillId="0" borderId="24" xfId="52" applyFont="1" applyBorder="1" applyAlignment="1">
      <alignment horizontal="right" vertical="center"/>
    </xf>
    <xf numFmtId="0" fontId="32" fillId="0" borderId="2" xfId="52" applyFont="1" applyBorder="1" applyAlignment="1">
      <alignment horizontal="center" vertical="center" wrapText="1"/>
    </xf>
    <xf numFmtId="0" fontId="65" fillId="0" borderId="32" xfId="52" applyFont="1" applyBorder="1" applyAlignment="1">
      <alignment horizontal="center" vertical="center" wrapText="1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C12" sqref="C12"/>
    </sheetView>
  </sheetViews>
  <sheetFormatPr defaultColWidth="8" defaultRowHeight="13.5"/>
  <cols>
    <col min="1" max="1" width="7.42578125" style="42" customWidth="1"/>
    <col min="2" max="2" width="35.85546875" style="42" customWidth="1"/>
    <col min="3" max="3" width="14.5703125" style="41" customWidth="1"/>
    <col min="4" max="4" width="13.5703125" style="41" customWidth="1"/>
    <col min="5" max="5" width="15.140625" style="42" customWidth="1"/>
    <col min="6" max="6" width="17.28515625" style="42" customWidth="1"/>
    <col min="7" max="7" width="13.85546875" style="42" customWidth="1"/>
    <col min="8" max="8" width="14.7109375" style="42" customWidth="1"/>
    <col min="9" max="9" width="6.140625" style="42" customWidth="1"/>
    <col min="10" max="10" width="15.42578125" style="42" customWidth="1"/>
    <col min="11" max="11" width="13.7109375" style="42" customWidth="1"/>
    <col min="12" max="16384" width="8" style="42"/>
  </cols>
  <sheetData>
    <row r="1" spans="1:12">
      <c r="A1" s="40" t="s">
        <v>108</v>
      </c>
      <c r="B1" s="40"/>
    </row>
    <row r="2" spans="1:12">
      <c r="A2" s="40" t="s">
        <v>109</v>
      </c>
      <c r="B2" s="40"/>
    </row>
    <row r="3" spans="1:12">
      <c r="A3" s="40" t="s">
        <v>110</v>
      </c>
      <c r="B3" s="40"/>
    </row>
    <row r="5" spans="1:12" ht="15.75">
      <c r="A5" s="43" t="s">
        <v>111</v>
      </c>
      <c r="B5" s="43"/>
      <c r="C5" s="44"/>
      <c r="D5" s="44"/>
      <c r="E5" s="43"/>
      <c r="F5" s="43"/>
      <c r="G5" s="43"/>
      <c r="H5" s="43"/>
    </row>
    <row r="6" spans="1:12" ht="15.75">
      <c r="A6" s="45" t="s">
        <v>112</v>
      </c>
      <c r="B6" s="43"/>
      <c r="C6" s="44"/>
      <c r="D6" s="44"/>
      <c r="E6" s="43"/>
      <c r="F6" s="43"/>
      <c r="G6" s="43"/>
      <c r="H6" s="43"/>
    </row>
    <row r="8" spans="1:12">
      <c r="A8" s="46"/>
      <c r="B8" s="46" t="s">
        <v>113</v>
      </c>
      <c r="C8" s="47" t="s">
        <v>114</v>
      </c>
      <c r="D8" s="47"/>
      <c r="E8" s="48" t="s">
        <v>115</v>
      </c>
      <c r="F8" s="48"/>
      <c r="G8" s="48" t="s">
        <v>116</v>
      </c>
      <c r="H8" s="48"/>
    </row>
    <row r="9" spans="1:12">
      <c r="A9" s="49" t="s">
        <v>117</v>
      </c>
      <c r="B9" s="49"/>
      <c r="C9" s="47" t="s">
        <v>118</v>
      </c>
      <c r="D9" s="47" t="s">
        <v>119</v>
      </c>
      <c r="E9" s="48" t="s">
        <v>118</v>
      </c>
      <c r="F9" s="48" t="s">
        <v>119</v>
      </c>
      <c r="G9" s="48" t="s">
        <v>118</v>
      </c>
      <c r="H9" s="48" t="s">
        <v>119</v>
      </c>
    </row>
    <row r="10" spans="1:12" s="41" customFormat="1">
      <c r="A10" s="50" t="s">
        <v>120</v>
      </c>
      <c r="B10" s="51" t="s">
        <v>121</v>
      </c>
      <c r="C10" s="52">
        <v>3024643500</v>
      </c>
      <c r="D10" s="52"/>
      <c r="E10" s="52">
        <f t="array" ref="E10">SUM(IF(A10=KHN,TH))</f>
        <v>0</v>
      </c>
      <c r="F10" s="52">
        <f t="array" ref="F10">SUM(IF(A10=KHC,TH))</f>
        <v>1343576000</v>
      </c>
      <c r="G10" s="53">
        <f>MAX(C10+E10-D10-F10,0)</f>
        <v>1681067500</v>
      </c>
      <c r="H10" s="53">
        <f>MAX(D10+F10-E10-C10,0)</f>
        <v>0</v>
      </c>
      <c r="K10" s="54"/>
      <c r="L10" s="54"/>
    </row>
    <row r="11" spans="1:12" s="41" customFormat="1">
      <c r="A11" s="55" t="s">
        <v>20</v>
      </c>
      <c r="B11" s="56" t="s">
        <v>122</v>
      </c>
      <c r="C11" s="57">
        <f>C10</f>
        <v>3024643500</v>
      </c>
      <c r="D11" s="57"/>
      <c r="E11" s="57">
        <f>E10</f>
        <v>0</v>
      </c>
      <c r="F11" s="57">
        <f>F10</f>
        <v>1343576000</v>
      </c>
      <c r="G11" s="57">
        <f>G10</f>
        <v>1681067500</v>
      </c>
      <c r="H11" s="57">
        <f>H10</f>
        <v>0</v>
      </c>
    </row>
    <row r="12" spans="1:12" s="41" customFormat="1">
      <c r="A12" s="58" t="s">
        <v>34</v>
      </c>
      <c r="B12" s="51" t="s">
        <v>123</v>
      </c>
      <c r="C12" s="52">
        <v>628500</v>
      </c>
      <c r="D12" s="52"/>
      <c r="E12" s="52">
        <f t="array" ref="E12">SUM(IF(A12=KHN,TH))</f>
        <v>8474947244</v>
      </c>
      <c r="F12" s="52">
        <f t="array" ref="F12">SUM(IF(A12=KHC,TH))</f>
        <v>7974670517</v>
      </c>
      <c r="G12" s="53">
        <f>MAX(C12+E12-D12-F12,0)</f>
        <v>500905227</v>
      </c>
      <c r="H12" s="53">
        <f>MAX(D12+F12-E12-C12,0)</f>
        <v>0</v>
      </c>
      <c r="K12" s="54"/>
      <c r="L12" s="54"/>
    </row>
    <row r="13" spans="1:12" s="41" customFormat="1">
      <c r="A13" s="55" t="s">
        <v>124</v>
      </c>
      <c r="B13" s="56" t="s">
        <v>125</v>
      </c>
      <c r="C13" s="57">
        <f>C12</f>
        <v>628500</v>
      </c>
      <c r="D13" s="57">
        <f>D12</f>
        <v>0</v>
      </c>
      <c r="E13" s="57">
        <f>E12</f>
        <v>8474947244</v>
      </c>
      <c r="F13" s="57">
        <f>F12</f>
        <v>7974670517</v>
      </c>
      <c r="G13" s="57">
        <f>MAX(C13+E13-D13-F13,0)</f>
        <v>500905227</v>
      </c>
      <c r="H13" s="57">
        <f>MAX(D13+F13-E13-C13,0)</f>
        <v>0</v>
      </c>
    </row>
    <row r="14" spans="1:12" s="41" customFormat="1">
      <c r="A14" s="58" t="s">
        <v>10</v>
      </c>
      <c r="B14" s="51" t="s">
        <v>126</v>
      </c>
      <c r="C14" s="52"/>
      <c r="D14" s="52"/>
      <c r="E14" s="52">
        <f t="array" ref="E14">SUM(IF(A14=KHN,TH))</f>
        <v>197444018</v>
      </c>
      <c r="F14" s="52">
        <f t="array" ref="F14">SUM(IF(A14=KHC,TH))</f>
        <v>0</v>
      </c>
      <c r="G14" s="53">
        <f>MAX(C14+E14-D14-F14,0)</f>
        <v>197444018</v>
      </c>
      <c r="H14" s="53">
        <f>MAX(D14+F14-E14-C14,0)</f>
        <v>0</v>
      </c>
    </row>
    <row r="15" spans="1:12" s="41" customFormat="1">
      <c r="A15" s="55" t="s">
        <v>127</v>
      </c>
      <c r="B15" s="56" t="s">
        <v>128</v>
      </c>
      <c r="C15" s="57"/>
      <c r="D15" s="57">
        <f t="shared" ref="D15:H15" si="0">D14</f>
        <v>0</v>
      </c>
      <c r="E15" s="57">
        <f t="shared" si="0"/>
        <v>197444018</v>
      </c>
      <c r="F15" s="57">
        <f t="shared" si="0"/>
        <v>0</v>
      </c>
      <c r="G15" s="57">
        <f t="shared" si="0"/>
        <v>197444018</v>
      </c>
      <c r="H15" s="57">
        <f t="shared" si="0"/>
        <v>0</v>
      </c>
    </row>
    <row r="16" spans="1:12" s="41" customFormat="1">
      <c r="A16" s="58" t="s">
        <v>129</v>
      </c>
      <c r="B16" s="51" t="s">
        <v>130</v>
      </c>
      <c r="C16" s="52"/>
      <c r="D16" s="52"/>
      <c r="E16" s="52">
        <f t="array" ref="E16">SUM(IF(A16=KHN,TH))</f>
        <v>33000000</v>
      </c>
      <c r="F16" s="52">
        <f t="array" ref="F16">SUM(IF(A16=KHC,TH))</f>
        <v>33000000</v>
      </c>
      <c r="G16" s="53">
        <f t="shared" ref="G16:G22" si="1">MAX(C16+E16-D16-F16,0)</f>
        <v>0</v>
      </c>
      <c r="H16" s="53">
        <f t="shared" ref="H16:H22" si="2">MAX(D16+F16-E16-C16,0)</f>
        <v>0</v>
      </c>
    </row>
    <row r="17" spans="1:9" s="41" customFormat="1">
      <c r="A17" s="55" t="s">
        <v>131</v>
      </c>
      <c r="B17" s="56" t="s">
        <v>132</v>
      </c>
      <c r="C17" s="57"/>
      <c r="D17" s="57"/>
      <c r="E17" s="57">
        <f>E16</f>
        <v>33000000</v>
      </c>
      <c r="F17" s="57">
        <f>F16</f>
        <v>33000000</v>
      </c>
      <c r="G17" s="57">
        <f t="shared" si="1"/>
        <v>0</v>
      </c>
      <c r="H17" s="57">
        <f t="shared" si="2"/>
        <v>0</v>
      </c>
    </row>
    <row r="18" spans="1:9" s="41" customFormat="1">
      <c r="A18" s="50" t="s">
        <v>248</v>
      </c>
      <c r="B18" s="51" t="s">
        <v>249</v>
      </c>
      <c r="C18" s="52"/>
      <c r="D18" s="52"/>
      <c r="E18" s="52">
        <f t="array" ref="E18">SUM(IF(A18=KHN,TH))</f>
        <v>1984383750</v>
      </c>
      <c r="F18" s="52">
        <f t="array" ref="F18">SUM(IF(A18=KHC,TH))</f>
        <v>0</v>
      </c>
      <c r="G18" s="53">
        <f t="shared" si="1"/>
        <v>1984383750</v>
      </c>
      <c r="H18" s="53">
        <f t="shared" si="2"/>
        <v>0</v>
      </c>
    </row>
    <row r="19" spans="1:9" s="41" customFormat="1">
      <c r="A19" s="59" t="s">
        <v>248</v>
      </c>
      <c r="B19" s="56" t="s">
        <v>250</v>
      </c>
      <c r="C19" s="57"/>
      <c r="D19" s="57"/>
      <c r="E19" s="57">
        <f>E18</f>
        <v>1984383750</v>
      </c>
      <c r="F19" s="57">
        <f>F18</f>
        <v>0</v>
      </c>
      <c r="G19" s="57">
        <f t="shared" si="1"/>
        <v>1984383750</v>
      </c>
      <c r="H19" s="57">
        <f t="shared" si="2"/>
        <v>0</v>
      </c>
    </row>
    <row r="20" spans="1:9" s="41" customFormat="1">
      <c r="A20" s="55" t="s">
        <v>9</v>
      </c>
      <c r="B20" s="56" t="s">
        <v>133</v>
      </c>
      <c r="C20" s="57">
        <v>850000000</v>
      </c>
      <c r="D20" s="57"/>
      <c r="E20" s="108">
        <f t="array" ref="E20">SUM(IF(A20=KHN,TH))</f>
        <v>7827334604</v>
      </c>
      <c r="F20" s="108">
        <f t="array" ref="F20">SUM(IF(A20=KHC,TH))</f>
        <v>2164724604</v>
      </c>
      <c r="G20" s="57">
        <f t="shared" si="1"/>
        <v>6512610000</v>
      </c>
      <c r="H20" s="57">
        <f t="shared" si="2"/>
        <v>0</v>
      </c>
    </row>
    <row r="21" spans="1:9" s="41" customFormat="1">
      <c r="A21" s="58" t="s">
        <v>134</v>
      </c>
      <c r="B21" s="51" t="s">
        <v>135</v>
      </c>
      <c r="C21" s="52"/>
      <c r="D21" s="52"/>
      <c r="E21" s="52">
        <f t="array" ref="E21">SUM(IF(A21=KHN,TH))</f>
        <v>0</v>
      </c>
      <c r="F21" s="52">
        <f t="array" ref="F21">SUM(IF(A21=KHC,TH))</f>
        <v>0</v>
      </c>
      <c r="G21" s="52">
        <f t="shared" si="1"/>
        <v>0</v>
      </c>
      <c r="H21" s="52">
        <f t="shared" si="2"/>
        <v>0</v>
      </c>
      <c r="I21" s="41">
        <f t="shared" ref="I21:I26" si="3">E21-F21</f>
        <v>0</v>
      </c>
    </row>
    <row r="22" spans="1:9" s="41" customFormat="1">
      <c r="A22" s="61" t="s">
        <v>136</v>
      </c>
      <c r="B22" s="62" t="s">
        <v>137</v>
      </c>
      <c r="C22" s="60"/>
      <c r="D22" s="60"/>
      <c r="E22" s="60">
        <f t="array" ref="E22">SUM(IF(A22=KHN,TH))</f>
        <v>1500000</v>
      </c>
      <c r="F22" s="60">
        <f t="array" ref="F22">SUM(IF(A22=KHC,TH))</f>
        <v>1500000</v>
      </c>
      <c r="G22" s="60">
        <f t="shared" si="1"/>
        <v>0</v>
      </c>
      <c r="H22" s="60">
        <f t="shared" si="2"/>
        <v>0</v>
      </c>
      <c r="I22" s="41">
        <f t="shared" si="3"/>
        <v>0</v>
      </c>
    </row>
    <row r="23" spans="1:9" s="41" customFormat="1">
      <c r="A23" s="58" t="s">
        <v>24</v>
      </c>
      <c r="B23" s="51" t="s">
        <v>138</v>
      </c>
      <c r="C23" s="52"/>
      <c r="D23" s="52"/>
      <c r="E23" s="52">
        <f>E22</f>
        <v>1500000</v>
      </c>
      <c r="F23" s="52">
        <f>F22</f>
        <v>1500000</v>
      </c>
      <c r="G23" s="52">
        <f>G22</f>
        <v>0</v>
      </c>
      <c r="H23" s="52">
        <f>H22</f>
        <v>0</v>
      </c>
      <c r="I23" s="41">
        <f t="shared" si="3"/>
        <v>0</v>
      </c>
    </row>
    <row r="24" spans="1:9" s="41" customFormat="1">
      <c r="A24" s="55" t="s">
        <v>139</v>
      </c>
      <c r="B24" s="56" t="s">
        <v>140</v>
      </c>
      <c r="C24" s="57"/>
      <c r="D24" s="57"/>
      <c r="E24" s="57">
        <f>E21+E23</f>
        <v>1500000</v>
      </c>
      <c r="F24" s="57">
        <f>F21+F23</f>
        <v>1500000</v>
      </c>
      <c r="G24" s="57">
        <f>G21+G23</f>
        <v>0</v>
      </c>
      <c r="H24" s="57">
        <f>H21+H23</f>
        <v>0</v>
      </c>
      <c r="I24" s="41">
        <f t="shared" si="3"/>
        <v>0</v>
      </c>
    </row>
    <row r="25" spans="1:9" s="41" customFormat="1">
      <c r="A25" s="58" t="s">
        <v>23</v>
      </c>
      <c r="B25" s="51" t="s">
        <v>141</v>
      </c>
      <c r="C25" s="52"/>
      <c r="D25" s="52"/>
      <c r="E25" s="52">
        <f t="array" ref="E25">SUM(IF(A25=KHN,TH))</f>
        <v>646000000</v>
      </c>
      <c r="F25" s="52">
        <f t="array" ref="F25">SUM(IF(A25=KHC,TH))</f>
        <v>646000000</v>
      </c>
      <c r="G25" s="52">
        <f>MAX(C25+E25-D25-F25,0)</f>
        <v>0</v>
      </c>
      <c r="H25" s="52">
        <f>MAX(D25+F25-E25-C25,0)</f>
        <v>0</v>
      </c>
      <c r="I25" s="41">
        <f t="shared" si="3"/>
        <v>0</v>
      </c>
    </row>
    <row r="26" spans="1:9" s="41" customFormat="1">
      <c r="A26" s="55" t="s">
        <v>142</v>
      </c>
      <c r="B26" s="56" t="s">
        <v>143</v>
      </c>
      <c r="C26" s="57"/>
      <c r="D26" s="57"/>
      <c r="E26" s="57">
        <f>E25</f>
        <v>646000000</v>
      </c>
      <c r="F26" s="57">
        <f>F25</f>
        <v>646000000</v>
      </c>
      <c r="G26" s="57">
        <f>G25</f>
        <v>0</v>
      </c>
      <c r="H26" s="57">
        <f>H25</f>
        <v>0</v>
      </c>
      <c r="I26" s="41">
        <f t="shared" si="3"/>
        <v>0</v>
      </c>
    </row>
    <row r="27" spans="1:9" s="41" customFormat="1">
      <c r="A27" s="50" t="s">
        <v>144</v>
      </c>
      <c r="B27" s="51" t="s">
        <v>145</v>
      </c>
      <c r="C27" s="52"/>
      <c r="D27" s="52"/>
      <c r="E27" s="52">
        <f t="array" ref="E27">SUM(IF(A27=KHN,TH))</f>
        <v>0</v>
      </c>
      <c r="F27" s="52">
        <f t="array" ref="F27">SUM(IF(A27=KHC,TH))</f>
        <v>7100000000</v>
      </c>
      <c r="G27" s="53">
        <f>MAX(C27+E27-D27-F27,0)</f>
        <v>0</v>
      </c>
      <c r="H27" s="53">
        <f>MAX(D27+F27-E27-C27,0)</f>
        <v>7100000000</v>
      </c>
    </row>
    <row r="28" spans="1:9" s="41" customFormat="1">
      <c r="A28" s="59" t="s">
        <v>65</v>
      </c>
      <c r="B28" s="56" t="s">
        <v>146</v>
      </c>
      <c r="C28" s="57"/>
      <c r="D28" s="57"/>
      <c r="E28" s="57">
        <f>E27</f>
        <v>0</v>
      </c>
      <c r="F28" s="57">
        <f>F27</f>
        <v>7100000000</v>
      </c>
      <c r="G28" s="57">
        <f>G27</f>
        <v>0</v>
      </c>
      <c r="H28" s="57">
        <f>H27</f>
        <v>7100000000</v>
      </c>
    </row>
    <row r="29" spans="1:9" s="41" customFormat="1">
      <c r="A29" s="58" t="s">
        <v>35</v>
      </c>
      <c r="B29" s="51" t="s">
        <v>147</v>
      </c>
      <c r="C29" s="52"/>
      <c r="D29" s="52">
        <v>4000000000</v>
      </c>
      <c r="E29" s="52">
        <f t="array" ref="E29">SUM(IF(A29=KHN,TH))</f>
        <v>0</v>
      </c>
      <c r="F29" s="52">
        <f t="array" ref="F29">SUM(IF(A29=KHC,TH))</f>
        <v>0</v>
      </c>
      <c r="G29" s="53">
        <f>MAX(C29+E29-D29-F29,0)</f>
        <v>0</v>
      </c>
      <c r="H29" s="53">
        <f>MAX(D29+F29-E29-C29,0)</f>
        <v>4000000000</v>
      </c>
    </row>
    <row r="30" spans="1:9" s="41" customFormat="1">
      <c r="A30" s="55" t="s">
        <v>148</v>
      </c>
      <c r="B30" s="56" t="s">
        <v>149</v>
      </c>
      <c r="C30" s="57"/>
      <c r="D30" s="57">
        <f>D29</f>
        <v>4000000000</v>
      </c>
      <c r="E30" s="57">
        <f>E29</f>
        <v>0</v>
      </c>
      <c r="F30" s="57">
        <f>F29</f>
        <v>0</v>
      </c>
      <c r="G30" s="57">
        <f>MAX(C30+E30-D30-F30,0)</f>
        <v>0</v>
      </c>
      <c r="H30" s="57">
        <f>MAX(D30+F30-E30-C30,0)</f>
        <v>4000000000</v>
      </c>
    </row>
    <row r="31" spans="1:9" s="41" customFormat="1">
      <c r="A31" s="50" t="s">
        <v>150</v>
      </c>
      <c r="B31" s="51" t="s">
        <v>151</v>
      </c>
      <c r="C31" s="52">
        <v>122686800</v>
      </c>
      <c r="D31" s="52"/>
      <c r="E31" s="52">
        <f t="array" ref="E31">SUM(IF(A31=KHN,TH))</f>
        <v>2041200</v>
      </c>
      <c r="F31" s="52">
        <f t="array" ref="F31">SUM(IF(A31=KHC,TH))</f>
        <v>0</v>
      </c>
      <c r="G31" s="53">
        <f>MAX(C31+E31-D31-F31,0)</f>
        <v>124728000</v>
      </c>
      <c r="H31" s="53">
        <f>MAX(D31+F31-E31-C31,0)</f>
        <v>0</v>
      </c>
    </row>
    <row r="32" spans="1:9" s="41" customFormat="1">
      <c r="A32" s="58" t="s">
        <v>152</v>
      </c>
      <c r="B32" s="51" t="s">
        <v>153</v>
      </c>
      <c r="C32" s="52">
        <v>2041200</v>
      </c>
      <c r="D32" s="52"/>
      <c r="E32" s="52">
        <f t="array" ref="E32">SUM(IF(A32=TH!$K$10:$K$236,TH!$J$10:$J$236))</f>
        <v>98861505</v>
      </c>
      <c r="F32" s="52">
        <f t="array" ref="F32">SUM(IF(A32=TH!$L$10:$L$236,TH!$J$10:$J$236))</f>
        <v>2041200</v>
      </c>
      <c r="G32" s="52">
        <f>MAX(C32+E32-D32-F32,0)</f>
        <v>98861505</v>
      </c>
      <c r="H32" s="52">
        <f>MAX(D32+F32-E32-C32,0)</f>
        <v>0</v>
      </c>
    </row>
    <row r="33" spans="1:9" s="41" customFormat="1">
      <c r="A33" s="55" t="s">
        <v>154</v>
      </c>
      <c r="B33" s="56" t="s">
        <v>155</v>
      </c>
      <c r="C33" s="57">
        <f>C31+C32</f>
        <v>124728000</v>
      </c>
      <c r="D33" s="57">
        <f>D31+D32</f>
        <v>0</v>
      </c>
      <c r="E33" s="57">
        <f>E32+E31</f>
        <v>100902705</v>
      </c>
      <c r="F33" s="57">
        <f>F32+F31</f>
        <v>2041200</v>
      </c>
      <c r="G33" s="57">
        <f>G32+G31</f>
        <v>223589505</v>
      </c>
      <c r="H33" s="57">
        <f>H32+H31</f>
        <v>0</v>
      </c>
    </row>
    <row r="34" spans="1:9" s="41" customFormat="1">
      <c r="A34" s="55" t="s">
        <v>67</v>
      </c>
      <c r="B34" s="56" t="s">
        <v>156</v>
      </c>
      <c r="C34" s="57"/>
      <c r="D34" s="57"/>
      <c r="E34" s="108">
        <f t="array" ref="E34">SUM(IF(A34=KHN,TH))</f>
        <v>747244</v>
      </c>
      <c r="F34" s="108">
        <f t="array" ref="F34">SUM(IF(A34=KHC,TH))</f>
        <v>747244</v>
      </c>
      <c r="G34" s="57"/>
      <c r="H34" s="57"/>
      <c r="I34" s="41">
        <f t="shared" ref="I34:I40" si="4">E34-F34</f>
        <v>0</v>
      </c>
    </row>
    <row r="35" spans="1:9" s="41" customFormat="1" ht="12.75" customHeight="1">
      <c r="A35" s="55" t="s">
        <v>157</v>
      </c>
      <c r="B35" s="56" t="s">
        <v>158</v>
      </c>
      <c r="C35" s="57"/>
      <c r="D35" s="57"/>
      <c r="E35" s="108">
        <f t="array" ref="E35">SUM(IF(A35=KHN,TH))</f>
        <v>108052291</v>
      </c>
      <c r="F35" s="108">
        <f t="array" ref="F35">SUM(IF(A35=KHC,TH))</f>
        <v>108052291</v>
      </c>
      <c r="G35" s="57"/>
      <c r="H35" s="57"/>
      <c r="I35" s="41">
        <f t="shared" si="4"/>
        <v>0</v>
      </c>
    </row>
    <row r="36" spans="1:9" s="41" customFormat="1" ht="12.75" customHeight="1">
      <c r="A36" s="55" t="s">
        <v>159</v>
      </c>
      <c r="B36" s="56" t="s">
        <v>160</v>
      </c>
      <c r="C36" s="57"/>
      <c r="D36" s="57"/>
      <c r="E36" s="108">
        <f t="array" ref="E36">SUM(IF(A36=KHN,TH))</f>
        <v>99608749</v>
      </c>
      <c r="F36" s="108">
        <f t="array" ref="F36">SUM(IF(A36=KHC,TH))</f>
        <v>99608749</v>
      </c>
      <c r="G36" s="57"/>
      <c r="H36" s="57"/>
      <c r="I36" s="41">
        <f t="shared" si="4"/>
        <v>0</v>
      </c>
    </row>
    <row r="37" spans="1:9" s="41" customFormat="1" ht="12.75" customHeight="1">
      <c r="A37" s="59" t="s">
        <v>161</v>
      </c>
      <c r="B37" s="56" t="s">
        <v>162</v>
      </c>
      <c r="C37" s="57"/>
      <c r="D37" s="57"/>
      <c r="E37" s="108">
        <f t="array" ref="E37">SUM(IF(A37=KHN,TH))</f>
        <v>0</v>
      </c>
      <c r="F37" s="108">
        <f t="array" ref="F37">SUM(IF(A37=KHC,TH))</f>
        <v>0</v>
      </c>
      <c r="G37" s="57"/>
      <c r="H37" s="57"/>
      <c r="I37" s="41">
        <f t="shared" si="4"/>
        <v>0</v>
      </c>
    </row>
    <row r="38" spans="1:9" s="41" customFormat="1" ht="12.75" customHeight="1">
      <c r="A38" s="55" t="s">
        <v>163</v>
      </c>
      <c r="B38" s="56" t="s">
        <v>164</v>
      </c>
      <c r="C38" s="57"/>
      <c r="D38" s="57"/>
      <c r="E38" s="108">
        <f t="array" ref="E38">SUM(IF(A38=KHN,TH))</f>
        <v>0</v>
      </c>
      <c r="F38" s="108">
        <f t="array" ref="F38">SUM(IF(A38=KHC,TH))</f>
        <v>0</v>
      </c>
      <c r="G38" s="57"/>
      <c r="H38" s="57"/>
      <c r="I38" s="41">
        <f t="shared" si="4"/>
        <v>0</v>
      </c>
    </row>
    <row r="39" spans="1:9" s="41" customFormat="1" ht="12.75" customHeight="1">
      <c r="A39" s="59" t="s">
        <v>165</v>
      </c>
      <c r="B39" s="56" t="s">
        <v>166</v>
      </c>
      <c r="C39" s="57"/>
      <c r="D39" s="57"/>
      <c r="E39" s="108">
        <f t="array" ref="E39">SUM(IF(A39=KHN,TH))</f>
        <v>0</v>
      </c>
      <c r="F39" s="108">
        <f t="array" ref="F39">SUM(IF(A39=KHC,TH))</f>
        <v>0</v>
      </c>
      <c r="G39" s="57"/>
      <c r="H39" s="57"/>
      <c r="I39" s="41">
        <f t="shared" si="4"/>
        <v>0</v>
      </c>
    </row>
    <row r="40" spans="1:9" s="41" customFormat="1">
      <c r="A40" s="55" t="s">
        <v>167</v>
      </c>
      <c r="B40" s="56" t="s">
        <v>168</v>
      </c>
      <c r="C40" s="57"/>
      <c r="D40" s="57"/>
      <c r="E40" s="109">
        <f t="array" ref="E40">SUM(IF(A40=KHN,TH))</f>
        <v>99608749</v>
      </c>
      <c r="F40" s="109">
        <f t="array" ref="F40">SUM(IF(A40=TH!$L$10:$L$236,TH!$J$10:$J$236))</f>
        <v>99608749</v>
      </c>
      <c r="G40" s="57"/>
      <c r="H40" s="57"/>
      <c r="I40" s="41">
        <f t="shared" si="4"/>
        <v>0</v>
      </c>
    </row>
    <row r="41" spans="1:9" s="41" customFormat="1">
      <c r="A41" s="63" t="s">
        <v>169</v>
      </c>
      <c r="B41" s="63"/>
      <c r="C41" s="63">
        <f>C11+C13+C15+C17+C20+C24+C26+C28+C30+C33+C34+C35+C36+C37+C38+C39+C40+C19</f>
        <v>4000000000</v>
      </c>
      <c r="D41" s="63">
        <f t="shared" ref="D41:H41" si="5">D11+D13+D15+D17+D20+D24+D26+D28+D30+D33+D34+D35+D36+D37+D38+D39+D40+D19</f>
        <v>4000000000</v>
      </c>
      <c r="E41" s="63">
        <f t="shared" si="5"/>
        <v>19573529354</v>
      </c>
      <c r="F41" s="63">
        <f t="shared" si="5"/>
        <v>19573529354</v>
      </c>
      <c r="G41" s="63">
        <f t="shared" si="5"/>
        <v>11100000000</v>
      </c>
      <c r="H41" s="63">
        <f t="shared" si="5"/>
        <v>11100000000</v>
      </c>
    </row>
    <row r="42" spans="1:9">
      <c r="E42" s="64"/>
      <c r="F42" s="65"/>
    </row>
    <row r="43" spans="1:9">
      <c r="E43" s="65">
        <f>E41-F41</f>
        <v>0</v>
      </c>
      <c r="H43" s="65">
        <f>G41-H41</f>
        <v>0</v>
      </c>
    </row>
    <row r="44" spans="1:9">
      <c r="E44" s="66"/>
      <c r="F44" s="66"/>
    </row>
    <row r="45" spans="1:9">
      <c r="E45" s="66"/>
      <c r="F45" s="66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236"/>
  <sheetViews>
    <sheetView tabSelected="1" topLeftCell="C7" workbookViewId="0">
      <pane ySplit="3" topLeftCell="A192" activePane="bottomLeft" state="frozen"/>
      <selection activeCell="A7" sqref="A7"/>
      <selection pane="bottomLeft" activeCell="D17" sqref="D17:L214"/>
    </sheetView>
  </sheetViews>
  <sheetFormatPr defaultRowHeight="12.75"/>
  <cols>
    <col min="1" max="1" width="4.5703125" style="175" customWidth="1"/>
    <col min="2" max="3" width="4.85546875" customWidth="1"/>
    <col min="4" max="4" width="9.140625" customWidth="1"/>
    <col min="5" max="5" width="6.85546875" customWidth="1"/>
    <col min="6" max="6" width="9.140625" customWidth="1"/>
    <col min="7" max="7" width="33.7109375" customWidth="1"/>
    <col min="8" max="8" width="8.5703125" style="174" customWidth="1"/>
    <col min="9" max="9" width="32.140625" style="118" customWidth="1"/>
    <col min="10" max="10" width="13.140625" customWidth="1"/>
    <col min="11" max="12" width="7" customWidth="1"/>
    <col min="13" max="13" width="4.42578125" hidden="1" customWidth="1"/>
    <col min="14" max="22" width="2.7109375" hidden="1" customWidth="1"/>
    <col min="23" max="24" width="4.42578125" hidden="1" customWidth="1"/>
  </cols>
  <sheetData>
    <row r="1" spans="1:24">
      <c r="B1" s="67"/>
      <c r="C1" s="67"/>
      <c r="D1" s="67" t="s">
        <v>180</v>
      </c>
      <c r="E1" s="68"/>
      <c r="F1" s="68"/>
      <c r="G1" s="69"/>
      <c r="H1" s="68"/>
      <c r="I1" s="116"/>
      <c r="J1" s="85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>
      <c r="B2" s="67"/>
      <c r="C2" s="67"/>
      <c r="D2" s="67" t="s">
        <v>181</v>
      </c>
      <c r="E2" s="68"/>
      <c r="F2" s="68"/>
      <c r="G2" s="68"/>
      <c r="H2" s="68"/>
      <c r="I2" s="117"/>
      <c r="J2" s="85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>
      <c r="B3" s="68"/>
      <c r="C3" s="68"/>
      <c r="D3" s="68"/>
      <c r="E3" s="68"/>
      <c r="F3" s="68"/>
      <c r="G3" s="68"/>
      <c r="H3" s="68"/>
      <c r="I3" s="117"/>
      <c r="J3" s="82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 spans="1:24" ht="22.5">
      <c r="B4" s="85"/>
      <c r="C4" s="85"/>
      <c r="D4" s="475" t="s">
        <v>170</v>
      </c>
      <c r="E4" s="475"/>
      <c r="F4" s="475"/>
      <c r="G4" s="475"/>
      <c r="H4" s="475"/>
      <c r="I4" s="475"/>
      <c r="J4" s="475"/>
      <c r="K4" s="475"/>
      <c r="L4" s="475"/>
    </row>
    <row r="5" spans="1:24" ht="14.25">
      <c r="B5" s="85"/>
      <c r="C5" s="85"/>
      <c r="D5" s="476"/>
      <c r="E5" s="476"/>
      <c r="F5" s="476"/>
      <c r="G5" s="476"/>
      <c r="H5" s="476"/>
      <c r="I5" s="476"/>
      <c r="J5" s="476"/>
      <c r="K5" s="476"/>
      <c r="L5" s="476"/>
    </row>
    <row r="6" spans="1:24">
      <c r="B6" s="85"/>
      <c r="C6" s="85"/>
      <c r="D6" s="85"/>
      <c r="E6" s="85"/>
      <c r="F6" s="85"/>
      <c r="G6" s="85"/>
      <c r="H6" s="85"/>
      <c r="I6" s="89"/>
      <c r="J6" s="85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4" ht="12.75" customHeight="1">
      <c r="A7" s="483" t="s">
        <v>220</v>
      </c>
      <c r="B7" s="485" t="s">
        <v>182</v>
      </c>
      <c r="C7" s="485" t="s">
        <v>183</v>
      </c>
      <c r="D7" s="477" t="s">
        <v>30</v>
      </c>
      <c r="E7" s="478" t="s">
        <v>1</v>
      </c>
      <c r="F7" s="479"/>
      <c r="G7" s="477" t="s">
        <v>0</v>
      </c>
      <c r="H7" s="481" t="s">
        <v>218</v>
      </c>
      <c r="I7" s="487" t="s">
        <v>103</v>
      </c>
      <c r="J7" s="477" t="s">
        <v>171</v>
      </c>
      <c r="K7" s="480" t="s">
        <v>172</v>
      </c>
      <c r="L7" s="480"/>
      <c r="M7" s="488" t="s">
        <v>9</v>
      </c>
      <c r="N7" s="490" t="s">
        <v>120</v>
      </c>
      <c r="O7" s="491"/>
      <c r="P7" s="492"/>
      <c r="Q7" s="490" t="s">
        <v>34</v>
      </c>
      <c r="R7" s="491"/>
      <c r="S7" s="492"/>
      <c r="T7" s="490" t="s">
        <v>10</v>
      </c>
      <c r="U7" s="491"/>
      <c r="V7" s="492"/>
      <c r="W7" s="488" t="s">
        <v>144</v>
      </c>
      <c r="X7" s="489" t="str">
        <f>CTTK!$E$7</f>
        <v>911</v>
      </c>
    </row>
    <row r="8" spans="1:24" ht="25.5">
      <c r="A8" s="484"/>
      <c r="B8" s="486"/>
      <c r="C8" s="486"/>
      <c r="D8" s="477"/>
      <c r="E8" s="83" t="s">
        <v>19</v>
      </c>
      <c r="F8" s="81" t="s">
        <v>42</v>
      </c>
      <c r="G8" s="477"/>
      <c r="H8" s="482"/>
      <c r="I8" s="487"/>
      <c r="J8" s="477"/>
      <c r="K8" s="84" t="s">
        <v>32</v>
      </c>
      <c r="L8" s="84" t="s">
        <v>33</v>
      </c>
      <c r="M8" s="480"/>
      <c r="N8" s="493"/>
      <c r="O8" s="494"/>
      <c r="P8" s="495"/>
      <c r="Q8" s="493"/>
      <c r="R8" s="494"/>
      <c r="S8" s="495"/>
      <c r="T8" s="493"/>
      <c r="U8" s="494"/>
      <c r="V8" s="495"/>
      <c r="W8" s="480"/>
      <c r="X8" s="480"/>
    </row>
    <row r="9" spans="1:24">
      <c r="A9" s="176">
        <v>1</v>
      </c>
      <c r="B9" s="72">
        <v>2</v>
      </c>
      <c r="C9" s="176">
        <v>3</v>
      </c>
      <c r="D9" s="72">
        <v>4</v>
      </c>
      <c r="E9" s="176">
        <v>5</v>
      </c>
      <c r="F9" s="72">
        <v>6</v>
      </c>
      <c r="G9" s="176">
        <v>7</v>
      </c>
      <c r="H9" s="72">
        <v>8</v>
      </c>
      <c r="I9" s="176">
        <v>9</v>
      </c>
      <c r="J9" s="72">
        <v>10</v>
      </c>
      <c r="K9" s="176">
        <v>11</v>
      </c>
      <c r="L9" s="72">
        <v>12</v>
      </c>
      <c r="M9" s="176">
        <v>13</v>
      </c>
      <c r="N9" s="176"/>
      <c r="O9" s="176"/>
      <c r="P9" s="176">
        <v>13</v>
      </c>
      <c r="Q9" s="176"/>
      <c r="R9" s="176"/>
      <c r="S9" s="176">
        <v>13</v>
      </c>
      <c r="T9" s="176"/>
      <c r="U9" s="176"/>
      <c r="V9" s="176">
        <v>13</v>
      </c>
      <c r="W9" s="176">
        <v>13</v>
      </c>
      <c r="X9" s="176">
        <v>13</v>
      </c>
    </row>
    <row r="10" spans="1:24" s="88" customFormat="1">
      <c r="A10" s="177" t="str">
        <f>IF(E10&lt;&gt;"",IF(AND(B10='IN - TC'!$Q$4,OR(TH!K10="1111",TH!L10="1111")),TH!E10,""),"")</f>
        <v/>
      </c>
      <c r="B10" s="73">
        <f>IF(D10&lt;&gt;"",YEAR(D10),"")</f>
        <v>2015</v>
      </c>
      <c r="C10" s="73">
        <f>IF(D10&lt;&gt;"",MONTH(D10),"")</f>
        <v>12</v>
      </c>
      <c r="D10" s="99">
        <v>42369</v>
      </c>
      <c r="E10" s="99" t="s">
        <v>173</v>
      </c>
      <c r="F10" s="99">
        <v>42369</v>
      </c>
      <c r="G10" s="100" t="s">
        <v>176</v>
      </c>
      <c r="H10" s="181"/>
      <c r="I10" s="101"/>
      <c r="J10" s="102">
        <f>MAX(SUMIF(KHN,"911",TH)-SUMIF(KHC,"911",TH),SUMIF(KHC,"911",TH)-SUMIF(KHN,"911",TH))</f>
        <v>98861505</v>
      </c>
      <c r="K10" s="103" t="s">
        <v>152</v>
      </c>
      <c r="L10" s="103" t="s">
        <v>167</v>
      </c>
      <c r="M10" s="103" t="str">
        <f>IF(AND('331-CT'!$E$7=TH!I10,OR(K10="331",L10="331")),"x","")</f>
        <v/>
      </c>
      <c r="N10" s="103" t="str">
        <f>IF(AND($C10&gt;='1111'!$N$10,$C10&lt;='1111'!$O$10,OR($K10=$N$7,$L10=$N$7)),"x","")</f>
        <v/>
      </c>
      <c r="O10" s="103" t="str">
        <f>IF(AND($K10=$N$7,$C10&lt;'1111'!$N$10),"x","")</f>
        <v/>
      </c>
      <c r="P10" s="103" t="str">
        <f>IF(AND($L10=$N$7,$C10&lt;'1111'!$N$10),"x","")</f>
        <v/>
      </c>
      <c r="Q10" s="103" t="str">
        <f>IF(AND($C10&gt;='1121'!$N$9,$C10&lt;='1121'!$O$9,OR($K10=$Q$7,$L10=$Q$7)),"x","")</f>
        <v/>
      </c>
      <c r="R10" s="103" t="str">
        <f>IF(AND($K10=$Q$7,$C10&lt;'1121'!$N$9),"x","")</f>
        <v/>
      </c>
      <c r="S10" s="103" t="str">
        <f>IF(AND($L10=$Q$7,$C10&lt;'1121'!$N$9),"x","")</f>
        <v/>
      </c>
      <c r="T10" s="103" t="str">
        <f>IF(AND($C10&gt;='1331'!$I$9,$C10&lt;='1331'!$J$9,OR($K10=$T$7,$L10=$T$7)),"x","")</f>
        <v/>
      </c>
      <c r="U10" s="103" t="str">
        <f>IF(AND($K10=$T$7,$C10&lt;'1331'!$I$9),"x","")</f>
        <v/>
      </c>
      <c r="V10" s="103" t="str">
        <f>IF(AND($L10=$T$7,$C10&lt;'1331'!$I$9),"x","")</f>
        <v/>
      </c>
      <c r="W10" s="103" t="str">
        <f>IF(AND('3411-CT'!$E$9=TH!I10,OR(TH!K10=TH!$W$7,L10=TH!$W$7)),"x","")</f>
        <v/>
      </c>
      <c r="X10" s="103" t="str">
        <f>IF(OR(TH!K10=TH!$X$7,L10=TH!$X$7),"x","")</f>
        <v>x</v>
      </c>
    </row>
    <row r="11" spans="1:24" s="88" customFormat="1">
      <c r="A11" s="178" t="str">
        <f>IF(E11&lt;&gt;"",IF(AND(B11='IN - TC'!$Q$4,OR(TH!K11="1111",TH!L11="1111")),TH!E11,""),"")</f>
        <v/>
      </c>
      <c r="B11" s="73">
        <f>IF(D11&lt;&gt;"",YEAR(D11),"")</f>
        <v>2015</v>
      </c>
      <c r="C11" s="73">
        <f>IF(D11&lt;&gt;"",MONTH(D11),"")</f>
        <v>12</v>
      </c>
      <c r="D11" s="99">
        <v>42369</v>
      </c>
      <c r="E11" s="99" t="s">
        <v>173</v>
      </c>
      <c r="F11" s="99">
        <v>42369</v>
      </c>
      <c r="G11" s="100" t="s">
        <v>174</v>
      </c>
      <c r="H11" s="181"/>
      <c r="I11" s="101"/>
      <c r="J11" s="102">
        <f>SUMIF(KHN,"635",TH)</f>
        <v>108052291</v>
      </c>
      <c r="K11" s="110" t="s">
        <v>248</v>
      </c>
      <c r="L11" s="103" t="s">
        <v>157</v>
      </c>
      <c r="M11" s="103" t="str">
        <f>IF(AND('331-CT'!$E$7=TH!I11,OR(K11="331",L11="331")),"x","")</f>
        <v/>
      </c>
      <c r="N11" s="103" t="str">
        <f>IF(AND($C11&gt;='1111'!$N$10,$C11&lt;='1111'!$O$10,OR($K11=$N$7,$L11=$N$7)),"x","")</f>
        <v/>
      </c>
      <c r="O11" s="103" t="str">
        <f>IF(AND($K11=$N$7,$C11&lt;'1111'!$N$10),"x","")</f>
        <v/>
      </c>
      <c r="P11" s="103" t="str">
        <f>IF(AND($L11=$N$7,$C11&lt;'1111'!$N$10),"x","")</f>
        <v/>
      </c>
      <c r="Q11" s="103" t="str">
        <f>IF(AND($C11&gt;='1121'!$N$9,$C11&lt;='1121'!$O$9,OR($K11=$Q$7,$L11=$Q$7)),"x","")</f>
        <v/>
      </c>
      <c r="R11" s="103" t="str">
        <f>IF(AND($K11=$Q$7,$C11&lt;'1121'!$N$9),"x","")</f>
        <v/>
      </c>
      <c r="S11" s="103" t="str">
        <f>IF(AND($L11=$Q$7,$C11&lt;'1121'!$N$9),"x","")</f>
        <v/>
      </c>
      <c r="T11" s="103" t="str">
        <f>IF(AND($C11&gt;='1331'!$I$9,$C11&lt;='1331'!$J$9,OR($K11=$T$7,$L11=$T$7)),"x","")</f>
        <v/>
      </c>
      <c r="U11" s="103" t="str">
        <f>IF(AND($K11=$T$7,$C11&lt;'1331'!$I$9),"x","")</f>
        <v/>
      </c>
      <c r="V11" s="103" t="str">
        <f>IF(AND($L11=$T$7,$C11&lt;'1331'!$I$9),"x","")</f>
        <v/>
      </c>
      <c r="W11" s="103" t="str">
        <f>IF(AND('3411-CT'!$E$9=TH!I11,OR(TH!K11=TH!$W$7,L11=TH!$W$7)),"x","")</f>
        <v/>
      </c>
      <c r="X11" s="103" t="str">
        <f>IF(OR(TH!K11=TH!$X$7,L11=TH!$X$7),"x","")</f>
        <v/>
      </c>
    </row>
    <row r="12" spans="1:24" s="88" customFormat="1">
      <c r="A12" s="178" t="str">
        <f>IF(E12&lt;&gt;"",IF(AND(B12='IN - TC'!$Q$4,OR(TH!K12="1111",TH!L12="1111")),TH!E12,""),"")</f>
        <v/>
      </c>
      <c r="B12" s="73">
        <f>IF(D12&lt;&gt;"",YEAR(D12),"")</f>
        <v>2015</v>
      </c>
      <c r="C12" s="73">
        <f>IF(D12&lt;&gt;"",MONTH(D12),"")</f>
        <v>12</v>
      </c>
      <c r="D12" s="99">
        <v>42369</v>
      </c>
      <c r="E12" s="99" t="s">
        <v>173</v>
      </c>
      <c r="F12" s="99">
        <v>42369</v>
      </c>
      <c r="G12" s="100" t="s">
        <v>175</v>
      </c>
      <c r="H12" s="181"/>
      <c r="I12" s="101"/>
      <c r="J12" s="102">
        <f>SUMIF(KHN,"642",TH)</f>
        <v>99608749</v>
      </c>
      <c r="K12" s="110" t="s">
        <v>167</v>
      </c>
      <c r="L12" s="103" t="s">
        <v>159</v>
      </c>
      <c r="M12" s="103" t="str">
        <f>IF(AND('331-CT'!$E$7=TH!I12,OR(K12="331",L12="331")),"x","")</f>
        <v/>
      </c>
      <c r="N12" s="103" t="str">
        <f>IF(AND($C12&gt;='1111'!$N$10,$C12&lt;='1111'!$O$10,OR($K12=$N$7,$L12=$N$7)),"x","")</f>
        <v/>
      </c>
      <c r="O12" s="103" t="str">
        <f>IF(AND($K12=$N$7,$C12&lt;'1111'!$N$10),"x","")</f>
        <v/>
      </c>
      <c r="P12" s="103" t="str">
        <f>IF(AND($L12=$N$7,$C12&lt;'1111'!$N$10),"x","")</f>
        <v/>
      </c>
      <c r="Q12" s="103" t="str">
        <f>IF(AND($C12&gt;='1121'!$N$9,$C12&lt;='1121'!$O$9,OR($K12=$Q$7,$L12=$Q$7)),"x","")</f>
        <v/>
      </c>
      <c r="R12" s="103" t="str">
        <f>IF(AND($K12=$Q$7,$C12&lt;'1121'!$N$9),"x","")</f>
        <v/>
      </c>
      <c r="S12" s="103" t="str">
        <f>IF(AND($L12=$Q$7,$C12&lt;'1121'!$N$9),"x","")</f>
        <v/>
      </c>
      <c r="T12" s="103" t="str">
        <f>IF(AND($C12&gt;='1331'!$I$9,$C12&lt;='1331'!$J$9,OR($K12=$T$7,$L12=$T$7)),"x","")</f>
        <v/>
      </c>
      <c r="U12" s="103" t="str">
        <f>IF(AND($K12=$T$7,$C12&lt;'1331'!$I$9),"x","")</f>
        <v/>
      </c>
      <c r="V12" s="103" t="str">
        <f>IF(AND($L12=$T$7,$C12&lt;'1331'!$I$9),"x","")</f>
        <v/>
      </c>
      <c r="W12" s="103" t="str">
        <f>IF(AND('3411-CT'!$E$9=TH!I12,OR(TH!K12=TH!$W$7,L12=TH!$W$7)),"x","")</f>
        <v/>
      </c>
      <c r="X12" s="103" t="str">
        <f>IF(OR(TH!K12=TH!$X$7,L12=TH!$X$7),"x","")</f>
        <v>x</v>
      </c>
    </row>
    <row r="13" spans="1:24" s="88" customFormat="1">
      <c r="A13" s="178" t="str">
        <f>IF(E13&lt;&gt;"",IF(AND(B13='IN - TC'!$Q$4,OR(TH!K13="1111",TH!L13="1111")),TH!E13,""),"")</f>
        <v/>
      </c>
      <c r="B13" s="73">
        <f t="shared" ref="B13:B14" si="0">IF(D13&lt;&gt;"",YEAR(D13),"")</f>
        <v>2015</v>
      </c>
      <c r="C13" s="73">
        <f t="shared" ref="C13:C14" si="1">IF(D13&lt;&gt;"",MONTH(D13),"")</f>
        <v>12</v>
      </c>
      <c r="D13" s="99">
        <v>42369</v>
      </c>
      <c r="E13" s="99" t="s">
        <v>173</v>
      </c>
      <c r="F13" s="99">
        <v>42369</v>
      </c>
      <c r="G13" s="100" t="s">
        <v>177</v>
      </c>
      <c r="H13" s="181"/>
      <c r="I13" s="111"/>
      <c r="J13" s="102">
        <f>SUMIF(KHC,"515",TH)</f>
        <v>747244</v>
      </c>
      <c r="K13" s="103" t="s">
        <v>67</v>
      </c>
      <c r="L13" s="103" t="s">
        <v>167</v>
      </c>
      <c r="M13" s="103" t="str">
        <f>IF(AND('331-CT'!$E$7=TH!I13,OR(K13="331",L13="331")),"x","")</f>
        <v/>
      </c>
      <c r="N13" s="103" t="str">
        <f>IF(AND($C13&gt;='1111'!$N$10,$C13&lt;='1111'!$O$10,OR($K13=$N$7,$L13=$N$7)),"x","")</f>
        <v/>
      </c>
      <c r="O13" s="103" t="str">
        <f>IF(AND($K13=$N$7,$C13&lt;'1111'!$N$10),"x","")</f>
        <v/>
      </c>
      <c r="P13" s="103" t="str">
        <f>IF(AND($L13=$N$7,$C13&lt;'1111'!$N$10),"x","")</f>
        <v/>
      </c>
      <c r="Q13" s="103" t="str">
        <f>IF(AND($C13&gt;='1121'!$N$9,$C13&lt;='1121'!$O$9,OR($K13=$Q$7,$L13=$Q$7)),"x","")</f>
        <v/>
      </c>
      <c r="R13" s="103" t="str">
        <f>IF(AND($K13=$Q$7,$C13&lt;'1121'!$N$9),"x","")</f>
        <v/>
      </c>
      <c r="S13" s="103" t="str">
        <f>IF(AND($L13=$Q$7,$C13&lt;'1121'!$N$9),"x","")</f>
        <v/>
      </c>
      <c r="T13" s="103" t="str">
        <f>IF(AND($C13&gt;='1331'!$I$9,$C13&lt;='1331'!$J$9,OR($K13=$T$7,$L13=$T$7)),"x","")</f>
        <v/>
      </c>
      <c r="U13" s="103" t="str">
        <f>IF(AND($K13=$T$7,$C13&lt;'1331'!$I$9),"x","")</f>
        <v/>
      </c>
      <c r="V13" s="103" t="str">
        <f>IF(AND($L13=$T$7,$C13&lt;'1331'!$I$9),"x","")</f>
        <v/>
      </c>
      <c r="W13" s="103" t="str">
        <f>IF(AND('3411-CT'!$E$9=TH!I13,OR(TH!K13=TH!$W$7,L13=TH!$W$7)),"x","")</f>
        <v/>
      </c>
      <c r="X13" s="103" t="str">
        <f>IF(OR(TH!K13=TH!$X$7,L13=TH!$X$7),"x","")</f>
        <v>x</v>
      </c>
    </row>
    <row r="14" spans="1:24" s="88" customFormat="1">
      <c r="A14" s="178" t="str">
        <f>IF(E14&lt;&gt;"",IF(AND(B14='IN - TC'!$Q$4,OR(TH!K14="1111",TH!L14="1111")),TH!E14,""),"")</f>
        <v/>
      </c>
      <c r="B14" s="73">
        <f t="shared" si="0"/>
        <v>2015</v>
      </c>
      <c r="C14" s="73">
        <f t="shared" si="1"/>
        <v>12</v>
      </c>
      <c r="D14" s="99">
        <v>42369</v>
      </c>
      <c r="E14" s="99" t="s">
        <v>173</v>
      </c>
      <c r="F14" s="99">
        <v>42369</v>
      </c>
      <c r="G14" s="100" t="s">
        <v>178</v>
      </c>
      <c r="H14" s="181"/>
      <c r="I14" s="101"/>
      <c r="J14" s="102">
        <f>SUMIF(KHC,"711",TH)</f>
        <v>0</v>
      </c>
      <c r="K14" s="103" t="s">
        <v>161</v>
      </c>
      <c r="L14" s="103" t="s">
        <v>167</v>
      </c>
      <c r="M14" s="103" t="str">
        <f>IF(AND('331-CT'!$E$7=TH!I14,OR(K14="331",L14="331")),"x","")</f>
        <v/>
      </c>
      <c r="N14" s="103" t="str">
        <f>IF(AND($C14&gt;='1111'!$N$10,$C14&lt;='1111'!$O$10,OR($K14=$N$7,$L14=$N$7)),"x","")</f>
        <v/>
      </c>
      <c r="O14" s="103" t="str">
        <f>IF(AND($K14=$N$7,$C14&lt;'1111'!$N$10),"x","")</f>
        <v/>
      </c>
      <c r="P14" s="103" t="str">
        <f>IF(AND($L14=$N$7,$C14&lt;'1111'!$N$10),"x","")</f>
        <v/>
      </c>
      <c r="Q14" s="103" t="str">
        <f>IF(AND($C14&gt;='1121'!$N$9,$C14&lt;='1121'!$O$9,OR($K14=$Q$7,$L14=$Q$7)),"x","")</f>
        <v/>
      </c>
      <c r="R14" s="103" t="str">
        <f>IF(AND($K14=$Q$7,$C14&lt;'1121'!$N$9),"x","")</f>
        <v/>
      </c>
      <c r="S14" s="103" t="str">
        <f>IF(AND($L14=$Q$7,$C14&lt;'1121'!$N$9),"x","")</f>
        <v/>
      </c>
      <c r="T14" s="103" t="str">
        <f>IF(AND($C14&gt;='1331'!$I$9,$C14&lt;='1331'!$J$9,OR($K14=$T$7,$L14=$T$7)),"x","")</f>
        <v/>
      </c>
      <c r="U14" s="103" t="str">
        <f>IF(AND($K14=$T$7,$C14&lt;'1331'!$I$9),"x","")</f>
        <v/>
      </c>
      <c r="V14" s="103" t="str">
        <f>IF(AND($L14=$T$7,$C14&lt;'1331'!$I$9),"x","")</f>
        <v/>
      </c>
      <c r="W14" s="103" t="str">
        <f>IF(AND('3411-CT'!$E$9=TH!I14,OR(TH!K14=TH!$W$7,L14=TH!$W$7)),"x","")</f>
        <v/>
      </c>
      <c r="X14" s="103" t="str">
        <f>IF(OR(TH!K14=TH!$X$7,L14=TH!$X$7),"x","")</f>
        <v>x</v>
      </c>
    </row>
    <row r="15" spans="1:24" s="88" customFormat="1">
      <c r="A15" s="178" t="str">
        <f>IF(E15&lt;&gt;"",IF(AND(B15='IN - TC'!$Q$4,OR(TH!K15="1111",TH!L15="1111")),TH!E15,""),"")</f>
        <v/>
      </c>
      <c r="B15" s="73">
        <f t="shared" ref="B15" si="2">IF(D15&lt;&gt;"",YEAR(D15),"")</f>
        <v>2015</v>
      </c>
      <c r="C15" s="73">
        <f t="shared" ref="C15" si="3">IF(D15&lt;&gt;"",MONTH(D15),"")</f>
        <v>12</v>
      </c>
      <c r="D15" s="99">
        <v>42369</v>
      </c>
      <c r="E15" s="99" t="s">
        <v>173</v>
      </c>
      <c r="F15" s="99">
        <v>42369</v>
      </c>
      <c r="G15" s="100" t="s">
        <v>179</v>
      </c>
      <c r="H15" s="181"/>
      <c r="I15" s="101"/>
      <c r="J15" s="102">
        <f>SUMIF(KHN,"811",TH)</f>
        <v>0</v>
      </c>
      <c r="K15" s="103" t="s">
        <v>167</v>
      </c>
      <c r="L15" s="103" t="s">
        <v>163</v>
      </c>
      <c r="M15" s="103" t="str">
        <f>IF(AND('331-CT'!$E$7=TH!I15,OR(K15="331",L15="331")),"x","")</f>
        <v/>
      </c>
      <c r="N15" s="103" t="str">
        <f>IF(AND($C15&gt;='1111'!$N$10,$C15&lt;='1111'!$O$10,OR($K15=$N$7,$L15=$N$7)),"x","")</f>
        <v/>
      </c>
      <c r="O15" s="103" t="str">
        <f>IF(AND($K15=$N$7,$C15&lt;'1111'!$N$10),"x","")</f>
        <v/>
      </c>
      <c r="P15" s="103" t="str">
        <f>IF(AND($L15=$N$7,$C15&lt;'1111'!$N$10),"x","")</f>
        <v/>
      </c>
      <c r="Q15" s="103" t="str">
        <f>IF(AND($C15&gt;='1121'!$N$9,$C15&lt;='1121'!$O$9,OR($K15=$Q$7,$L15=$Q$7)),"x","")</f>
        <v/>
      </c>
      <c r="R15" s="103" t="str">
        <f>IF(AND($K15=$Q$7,$C15&lt;'1121'!$N$9),"x","")</f>
        <v/>
      </c>
      <c r="S15" s="103" t="str">
        <f>IF(AND($L15=$Q$7,$C15&lt;'1121'!$N$9),"x","")</f>
        <v/>
      </c>
      <c r="T15" s="103" t="str">
        <f>IF(AND($C15&gt;='1331'!$I$9,$C15&lt;='1331'!$J$9,OR($K15=$T$7,$L15=$T$7)),"x","")</f>
        <v/>
      </c>
      <c r="U15" s="103" t="str">
        <f>IF(AND($K15=$T$7,$C15&lt;'1331'!$I$9),"x","")</f>
        <v/>
      </c>
      <c r="V15" s="103" t="str">
        <f>IF(AND($L15=$T$7,$C15&lt;'1331'!$I$9),"x","")</f>
        <v/>
      </c>
      <c r="W15" s="103" t="str">
        <f>IF(AND('3411-CT'!$E$9=TH!I15,OR(TH!K15=TH!$W$7,L15=TH!$W$7)),"x","")</f>
        <v/>
      </c>
      <c r="X15" s="103" t="str">
        <f>IF(OR(TH!K15=TH!$X$7,L15=TH!$X$7),"x","")</f>
        <v>x</v>
      </c>
    </row>
    <row r="16" spans="1:24" s="88" customFormat="1">
      <c r="A16" s="178" t="str">
        <f>IF(E16&lt;&gt;"",IF(AND(B16='IN - TC'!$Q$4,OR(TH!K16="1111",TH!L16="1111")),TH!E16,""),"")</f>
        <v/>
      </c>
      <c r="B16" s="73">
        <f>IF(D16&lt;&gt;"",YEAR(D16),"")</f>
        <v>2015</v>
      </c>
      <c r="C16" s="73">
        <f>IF(D16&lt;&gt;"",MONTH(D16),"")</f>
        <v>12</v>
      </c>
      <c r="D16" s="99">
        <v>42369</v>
      </c>
      <c r="E16" s="99" t="s">
        <v>173</v>
      </c>
      <c r="F16" s="99">
        <v>42369</v>
      </c>
      <c r="G16" s="100" t="s">
        <v>326</v>
      </c>
      <c r="H16" s="181"/>
      <c r="I16" s="101"/>
      <c r="J16" s="102">
        <f>CDPS!$C$32</f>
        <v>2041200</v>
      </c>
      <c r="K16" s="110" t="s">
        <v>150</v>
      </c>
      <c r="L16" s="103" t="s">
        <v>152</v>
      </c>
      <c r="M16" s="103" t="str">
        <f>IF(AND('331-CT'!$E$7=TH!I16,OR(K16="331",L16="331")),"x","")</f>
        <v/>
      </c>
      <c r="N16" s="103" t="str">
        <f>IF(AND($C16&gt;='1111'!$N$10,$C16&lt;='1111'!$O$10,OR($K16=$N$7,$L16=$N$7)),"x","")</f>
        <v/>
      </c>
      <c r="O16" s="103" t="str">
        <f>IF(AND($K16=$N$7,$C16&lt;'1111'!$N$10),"x","")</f>
        <v/>
      </c>
      <c r="P16" s="103" t="str">
        <f>IF(AND($L16=$N$7,$C16&lt;'1111'!$N$10),"x","")</f>
        <v/>
      </c>
      <c r="Q16" s="103" t="str">
        <f>IF(AND($C16&gt;='1121'!$N$9,$C16&lt;='1121'!$O$9,OR($K16=$Q$7,$L16=$Q$7)),"x","")</f>
        <v/>
      </c>
      <c r="R16" s="103" t="str">
        <f>IF(AND($K16=$Q$7,$C16&lt;'1121'!$N$9),"x","")</f>
        <v/>
      </c>
      <c r="S16" s="103" t="str">
        <f>IF(AND($L16=$Q$7,$C16&lt;'1121'!$N$9),"x","")</f>
        <v/>
      </c>
      <c r="T16" s="103" t="str">
        <f>IF(AND($C16&gt;='1331'!$I$9,$C16&lt;='1331'!$J$9,OR($K16=$T$7,$L16=$T$7)),"x","")</f>
        <v/>
      </c>
      <c r="U16" s="103" t="str">
        <f>IF(AND($K16=$T$7,$C16&lt;'1331'!$I$9),"x","")</f>
        <v/>
      </c>
      <c r="V16" s="103" t="str">
        <f>IF(AND($L16=$T$7,$C16&lt;'1331'!$I$9),"x","")</f>
        <v/>
      </c>
      <c r="W16" s="103" t="str">
        <f>IF(AND('3411-CT'!$E$9=TH!I16,OR(TH!K16=TH!$W$7,L16=TH!$W$7)),"x","")</f>
        <v/>
      </c>
      <c r="X16" s="103" t="str">
        <f>IF(OR(TH!K16=TH!$X$7,L16=TH!$X$7),"x","")</f>
        <v/>
      </c>
    </row>
    <row r="17" spans="1:24" s="88" customFormat="1">
      <c r="A17" s="178" t="str">
        <f>IF(E17&lt;&gt;"",IF(AND(B17='IN - TC'!$Q$4,OR(TH!K17="1111",TH!L17="1111")),TH!E17,""),"")</f>
        <v>C01</v>
      </c>
      <c r="B17" s="73">
        <f t="shared" ref="B17:B58" si="4">IF(D17&lt;&gt;"",YEAR(D17),"")</f>
        <v>2014</v>
      </c>
      <c r="C17" s="73">
        <f t="shared" ref="C17:C58" si="5">IF(D17&lt;&gt;"",MONTH(D17),"")</f>
        <v>1</v>
      </c>
      <c r="D17" s="86">
        <v>41641</v>
      </c>
      <c r="E17" s="74" t="s">
        <v>45</v>
      </c>
      <c r="F17" s="74">
        <v>41641</v>
      </c>
      <c r="G17" s="77" t="s">
        <v>223</v>
      </c>
      <c r="H17" s="180"/>
      <c r="I17" s="91" t="s">
        <v>184</v>
      </c>
      <c r="J17" s="75">
        <v>58000000</v>
      </c>
      <c r="K17" s="79" t="s">
        <v>23</v>
      </c>
      <c r="L17" s="76" t="s">
        <v>120</v>
      </c>
      <c r="M17" s="103" t="str">
        <f>IF(AND('331-CT'!$E$7=TH!I17,OR(K17="331",L17="331")),"x","")</f>
        <v/>
      </c>
      <c r="N17" s="103" t="str">
        <f>IF(AND($C17&gt;='1111'!$N$10,$C17&lt;='1111'!$O$10,OR($K17=$N$7,$L17=$N$7)),"x","")</f>
        <v/>
      </c>
      <c r="O17" s="103" t="str">
        <f>IF(AND($K17=$N$7,$C17&lt;'1111'!$N$10),"x","")</f>
        <v/>
      </c>
      <c r="P17" s="103" t="str">
        <f>IF(AND($L17=$N$7,$C17&lt;'1111'!$N$10),"x","")</f>
        <v>x</v>
      </c>
      <c r="Q17" s="103" t="str">
        <f>IF(AND($C17&gt;='1121'!$N$9,$C17&lt;='1121'!$O$9,OR($K17=$Q$7,$L17=$Q$7)),"x","")</f>
        <v/>
      </c>
      <c r="R17" s="103" t="str">
        <f>IF(AND($K17=$Q$7,$C17&lt;'1121'!$N$9),"x","")</f>
        <v/>
      </c>
      <c r="S17" s="103" t="str">
        <f>IF(AND($L17=$Q$7,$C17&lt;'1121'!$N$9),"x","")</f>
        <v/>
      </c>
      <c r="T17" s="103" t="str">
        <f>IF(AND($C17&gt;='1331'!$I$9,$C17&lt;='1331'!$J$9,OR($K17=$T$7,$L17=$T$7)),"x","")</f>
        <v/>
      </c>
      <c r="U17" s="103" t="str">
        <f>IF(AND($K17=$T$7,$C17&lt;'1331'!$I$9),"x","")</f>
        <v/>
      </c>
      <c r="V17" s="103" t="str">
        <f>IF(AND($L17=$T$7,$C17&lt;'1331'!$I$9),"x","")</f>
        <v/>
      </c>
      <c r="W17" s="103" t="str">
        <f>IF(AND('3411-CT'!$E$9=TH!I17,OR(TH!K17=TH!$W$7,L17=TH!$W$7)),"x","")</f>
        <v/>
      </c>
      <c r="X17" s="103" t="str">
        <f>IF(OR(TH!K17=TH!$X$7,L17=TH!$X$7),"x","")</f>
        <v/>
      </c>
    </row>
    <row r="18" spans="1:24" s="88" customFormat="1">
      <c r="A18" s="178" t="str">
        <f>IF(E18&lt;&gt;"",IF(AND(B18='IN - TC'!$Q$4,OR(TH!K18="1111",TH!L18="1111")),TH!E18,""),"")</f>
        <v/>
      </c>
      <c r="B18" s="73">
        <f t="shared" ref="B18:B39" si="6">IF(D18&lt;&gt;"",YEAR(D18),"")</f>
        <v>2014</v>
      </c>
      <c r="C18" s="73">
        <f t="shared" ref="C18:C39" si="7">IF(D18&lt;&gt;"",MONTH(D18),"")</f>
        <v>1</v>
      </c>
      <c r="D18" s="74">
        <v>41641</v>
      </c>
      <c r="E18" s="74" t="s">
        <v>11</v>
      </c>
      <c r="F18" s="74">
        <v>41641</v>
      </c>
      <c r="G18" s="77" t="s">
        <v>27</v>
      </c>
      <c r="H18" s="180"/>
      <c r="I18" s="91" t="s">
        <v>184</v>
      </c>
      <c r="J18" s="75">
        <v>58000000</v>
      </c>
      <c r="K18" s="76" t="s">
        <v>34</v>
      </c>
      <c r="L18" s="76" t="s">
        <v>23</v>
      </c>
      <c r="M18" s="103" t="str">
        <f>IF(AND('331-CT'!$E$7=TH!I18,OR(K18="331",L18="331")),"x","")</f>
        <v/>
      </c>
      <c r="N18" s="103" t="str">
        <f>IF(AND($C18&gt;='1111'!$N$10,$C18&lt;='1111'!$O$10,OR($K18=$N$7,$L18=$N$7)),"x","")</f>
        <v/>
      </c>
      <c r="O18" s="103" t="str">
        <f>IF(AND($K18=$N$7,$C18&lt;'1111'!$N$10),"x","")</f>
        <v/>
      </c>
      <c r="P18" s="103" t="str">
        <f>IF(AND($L18=$N$7,$C18&lt;'1111'!$N$10),"x","")</f>
        <v/>
      </c>
      <c r="Q18" s="103" t="str">
        <f>IF(AND($C18&gt;='1121'!$N$9,$C18&lt;='1121'!$O$9,OR($K18=$Q$7,$L18=$Q$7)),"x","")</f>
        <v/>
      </c>
      <c r="R18" s="103" t="str">
        <f>IF(AND($K18=$Q$7,$C18&lt;'1121'!$N$9),"x","")</f>
        <v>x</v>
      </c>
      <c r="S18" s="103" t="str">
        <f>IF(AND($L18=$Q$7,$C18&lt;'1121'!$N$9),"x","")</f>
        <v/>
      </c>
      <c r="T18" s="103" t="str">
        <f>IF(AND($C18&gt;='1331'!$I$9,$C18&lt;='1331'!$J$9,OR($K18=$T$7,$L18=$T$7)),"x","")</f>
        <v/>
      </c>
      <c r="U18" s="103" t="str">
        <f>IF(AND($K18=$T$7,$C18&lt;'1331'!$I$9),"x","")</f>
        <v/>
      </c>
      <c r="V18" s="103" t="str">
        <f>IF(AND($L18=$T$7,$C18&lt;'1331'!$I$9),"x","")</f>
        <v/>
      </c>
      <c r="W18" s="103" t="str">
        <f>IF(AND('3411-CT'!$E$9=TH!I18,OR(TH!K18=TH!$W$7,L18=TH!$W$7)),"x","")</f>
        <v/>
      </c>
      <c r="X18" s="103" t="str">
        <f>IF(OR(TH!K18=TH!$X$7,L18=TH!$X$7),"x","")</f>
        <v/>
      </c>
    </row>
    <row r="19" spans="1:24" s="88" customFormat="1">
      <c r="A19" s="178" t="str">
        <f>IF(E19&lt;&gt;"",IF(AND(B19='IN - TC'!$Q$4,OR(TH!K19="1111",TH!L19="1111")),TH!E19,""),"")</f>
        <v/>
      </c>
      <c r="B19" s="73">
        <f t="shared" si="6"/>
        <v>2014</v>
      </c>
      <c r="C19" s="73">
        <f t="shared" si="7"/>
        <v>1</v>
      </c>
      <c r="D19" s="74">
        <v>41641</v>
      </c>
      <c r="E19" s="74" t="s">
        <v>8</v>
      </c>
      <c r="F19" s="74">
        <v>41641</v>
      </c>
      <c r="G19" s="77" t="s">
        <v>336</v>
      </c>
      <c r="H19" s="180"/>
      <c r="I19" s="91" t="s">
        <v>56</v>
      </c>
      <c r="J19" s="75">
        <v>27500000</v>
      </c>
      <c r="K19" s="76" t="s">
        <v>9</v>
      </c>
      <c r="L19" s="76" t="s">
        <v>34</v>
      </c>
      <c r="M19" s="103" t="str">
        <f>IF(AND('331-CT'!$E$7=TH!I19,OR(K19="331",L19="331")),"x","")</f>
        <v/>
      </c>
      <c r="N19" s="103" t="str">
        <f>IF(AND($C19&gt;='1111'!$N$10,$C19&lt;='1111'!$O$10,OR($K19=$N$7,$L19=$N$7)),"x","")</f>
        <v/>
      </c>
      <c r="O19" s="103" t="str">
        <f>IF(AND($K19=$N$7,$C19&lt;'1111'!$N$10),"x","")</f>
        <v/>
      </c>
      <c r="P19" s="103" t="str">
        <f>IF(AND($L19=$N$7,$C19&lt;'1111'!$N$10),"x","")</f>
        <v/>
      </c>
      <c r="Q19" s="103" t="str">
        <f>IF(AND($C19&gt;='1121'!$N$9,$C19&lt;='1121'!$O$9,OR($K19=$Q$7,$L19=$Q$7)),"x","")</f>
        <v/>
      </c>
      <c r="R19" s="103" t="str">
        <f>IF(AND($K19=$Q$7,$C19&lt;'1121'!$N$9),"x","")</f>
        <v/>
      </c>
      <c r="S19" s="103" t="str">
        <f>IF(AND($L19=$Q$7,$C19&lt;'1121'!$N$9),"x","")</f>
        <v>x</v>
      </c>
      <c r="T19" s="103" t="str">
        <f>IF(AND($C19&gt;='1331'!$I$9,$C19&lt;='1331'!$J$9,OR($K19=$T$7,$L19=$T$7)),"x","")</f>
        <v/>
      </c>
      <c r="U19" s="103" t="str">
        <f>IF(AND($K19=$T$7,$C19&lt;'1331'!$I$9),"x","")</f>
        <v/>
      </c>
      <c r="V19" s="103" t="str">
        <f>IF(AND($L19=$T$7,$C19&lt;'1331'!$I$9),"x","")</f>
        <v/>
      </c>
      <c r="W19" s="103" t="str">
        <f>IF(AND('3411-CT'!$E$9=TH!I19,OR(TH!K19=TH!$W$7,L19=TH!$W$7)),"x","")</f>
        <v/>
      </c>
      <c r="X19" s="103" t="str">
        <f>IF(OR(TH!K19=TH!$X$7,L19=TH!$X$7),"x","")</f>
        <v/>
      </c>
    </row>
    <row r="20" spans="1:24" s="88" customFormat="1">
      <c r="A20" s="178" t="str">
        <f>IF(E20&lt;&gt;"",IF(AND(B20='IN - TC'!$Q$4,OR(TH!K20="1111",TH!L20="1111")),TH!E20,""),"")</f>
        <v/>
      </c>
      <c r="B20" s="73">
        <f t="shared" si="6"/>
        <v>2014</v>
      </c>
      <c r="C20" s="73">
        <f t="shared" si="7"/>
        <v>1</v>
      </c>
      <c r="D20" s="74">
        <v>41641</v>
      </c>
      <c r="E20" s="74" t="s">
        <v>8</v>
      </c>
      <c r="F20" s="74">
        <v>41641</v>
      </c>
      <c r="G20" s="80" t="s">
        <v>21</v>
      </c>
      <c r="H20" s="180"/>
      <c r="I20" s="90"/>
      <c r="J20" s="75">
        <v>20000</v>
      </c>
      <c r="K20" s="76" t="s">
        <v>159</v>
      </c>
      <c r="L20" s="76" t="s">
        <v>34</v>
      </c>
      <c r="M20" s="103" t="str">
        <f>IF(AND('331-CT'!$E$7=TH!I20,OR(K20="331",L20="331")),"x","")</f>
        <v/>
      </c>
      <c r="N20" s="103" t="str">
        <f>IF(AND($C20&gt;='1111'!$N$10,$C20&lt;='1111'!$O$10,OR($K20=$N$7,$L20=$N$7)),"x","")</f>
        <v/>
      </c>
      <c r="O20" s="103" t="str">
        <f>IF(AND($K20=$N$7,$C20&lt;'1111'!$N$10),"x","")</f>
        <v/>
      </c>
      <c r="P20" s="103" t="str">
        <f>IF(AND($L20=$N$7,$C20&lt;'1111'!$N$10),"x","")</f>
        <v/>
      </c>
      <c r="Q20" s="103" t="str">
        <f>IF(AND($C20&gt;='1121'!$N$9,$C20&lt;='1121'!$O$9,OR($K20=$Q$7,$L20=$Q$7)),"x","")</f>
        <v/>
      </c>
      <c r="R20" s="103" t="str">
        <f>IF(AND($K20=$Q$7,$C20&lt;'1121'!$N$9),"x","")</f>
        <v/>
      </c>
      <c r="S20" s="103" t="str">
        <f>IF(AND($L20=$Q$7,$C20&lt;'1121'!$N$9),"x","")</f>
        <v>x</v>
      </c>
      <c r="T20" s="103" t="str">
        <f>IF(AND($C20&gt;='1331'!$I$9,$C20&lt;='1331'!$J$9,OR($K20=$T$7,$L20=$T$7)),"x","")</f>
        <v/>
      </c>
      <c r="U20" s="103" t="str">
        <f>IF(AND($K20=$T$7,$C20&lt;'1331'!$I$9),"x","")</f>
        <v/>
      </c>
      <c r="V20" s="103" t="str">
        <f>IF(AND($L20=$T$7,$C20&lt;'1331'!$I$9),"x","")</f>
        <v/>
      </c>
      <c r="W20" s="103" t="str">
        <f>IF(AND('3411-CT'!$E$9=TH!I20,OR(TH!K20=TH!$W$7,L20=TH!$W$7)),"x","")</f>
        <v/>
      </c>
      <c r="X20" s="103" t="str">
        <f>IF(OR(TH!K20=TH!$X$7,L20=TH!$X$7),"x","")</f>
        <v/>
      </c>
    </row>
    <row r="21" spans="1:24" s="88" customFormat="1">
      <c r="A21" s="178" t="str">
        <f>IF(E21&lt;&gt;"",IF(AND(B21='IN - TC'!$Q$4,OR(TH!K21="1111",TH!L21="1111")),TH!E21,""),"")</f>
        <v/>
      </c>
      <c r="B21" s="73">
        <f t="shared" si="6"/>
        <v>2014</v>
      </c>
      <c r="C21" s="73">
        <f t="shared" si="7"/>
        <v>1</v>
      </c>
      <c r="D21" s="86">
        <v>41641</v>
      </c>
      <c r="E21" s="74" t="s">
        <v>8</v>
      </c>
      <c r="F21" s="74">
        <v>41641</v>
      </c>
      <c r="G21" s="77" t="s">
        <v>22</v>
      </c>
      <c r="H21" s="180"/>
      <c r="I21" s="90"/>
      <c r="J21" s="75">
        <v>2000</v>
      </c>
      <c r="K21" s="76" t="s">
        <v>10</v>
      </c>
      <c r="L21" s="76" t="s">
        <v>34</v>
      </c>
      <c r="M21" s="103" t="str">
        <f>IF(AND('331-CT'!$E$7=TH!I21,OR(K21="331",L21="331")),"x","")</f>
        <v/>
      </c>
      <c r="N21" s="103" t="str">
        <f>IF(AND($C21&gt;='1111'!$N$10,$C21&lt;='1111'!$O$10,OR($K21=$N$7,$L21=$N$7)),"x","")</f>
        <v/>
      </c>
      <c r="O21" s="103" t="str">
        <f>IF(AND($K21=$N$7,$C21&lt;'1111'!$N$10),"x","")</f>
        <v/>
      </c>
      <c r="P21" s="103" t="str">
        <f>IF(AND($L21=$N$7,$C21&lt;'1111'!$N$10),"x","")</f>
        <v/>
      </c>
      <c r="Q21" s="103" t="str">
        <f>IF(AND($C21&gt;='1121'!$N$9,$C21&lt;='1121'!$O$9,OR($K21=$Q$7,$L21=$Q$7)),"x","")</f>
        <v/>
      </c>
      <c r="R21" s="103" t="str">
        <f>IF(AND($K21=$Q$7,$C21&lt;'1121'!$N$9),"x","")</f>
        <v/>
      </c>
      <c r="S21" s="103" t="str">
        <f>IF(AND($L21=$Q$7,$C21&lt;'1121'!$N$9),"x","")</f>
        <v>x</v>
      </c>
      <c r="T21" s="103" t="str">
        <f>IF(AND($C21&gt;='1331'!$I$9,$C21&lt;='1331'!$J$9,OR($K21=$T$7,$L21=$T$7)),"x","")</f>
        <v/>
      </c>
      <c r="U21" s="103" t="str">
        <f>IF(AND($K21=$T$7,$C21&lt;'1331'!$I$9),"x","")</f>
        <v>x</v>
      </c>
      <c r="V21" s="103" t="str">
        <f>IF(AND($L21=$T$7,$C21&lt;'1331'!$I$9),"x","")</f>
        <v/>
      </c>
      <c r="W21" s="103" t="str">
        <f>IF(AND('3411-CT'!$E$9=TH!I21,OR(TH!K21=TH!$W$7,L21=TH!$W$7)),"x","")</f>
        <v/>
      </c>
      <c r="X21" s="103" t="str">
        <f>IF(OR(TH!K21=TH!$X$7,L21=TH!$X$7),"x","")</f>
        <v/>
      </c>
    </row>
    <row r="22" spans="1:24" s="88" customFormat="1">
      <c r="A22" s="178" t="str">
        <f>IF(E22&lt;&gt;"",IF(AND(B22='IN - TC'!$Q$4,OR(TH!K22="1111",TH!L22="1111")),TH!E22,""),"")</f>
        <v/>
      </c>
      <c r="B22" s="73">
        <f t="shared" si="6"/>
        <v>2014</v>
      </c>
      <c r="C22" s="73">
        <f t="shared" si="7"/>
        <v>1</v>
      </c>
      <c r="D22" s="74">
        <v>41641</v>
      </c>
      <c r="E22" s="74" t="s">
        <v>8</v>
      </c>
      <c r="F22" s="74">
        <v>41641</v>
      </c>
      <c r="G22" s="77" t="s">
        <v>349</v>
      </c>
      <c r="H22" s="180"/>
      <c r="I22" s="91" t="s">
        <v>54</v>
      </c>
      <c r="J22" s="75">
        <v>29920000</v>
      </c>
      <c r="K22" s="76" t="s">
        <v>9</v>
      </c>
      <c r="L22" s="76" t="s">
        <v>34</v>
      </c>
      <c r="M22" s="103" t="str">
        <f>IF(AND('331-CT'!$E$7=TH!I22,OR(K22="331",L22="331")),"x","")</f>
        <v/>
      </c>
      <c r="N22" s="103" t="str">
        <f>IF(AND($C22&gt;='1111'!$N$10,$C22&lt;='1111'!$O$10,OR($K22=$N$7,$L22=$N$7)),"x","")</f>
        <v/>
      </c>
      <c r="O22" s="103" t="str">
        <f>IF(AND($K22=$N$7,$C22&lt;'1111'!$N$10),"x","")</f>
        <v/>
      </c>
      <c r="P22" s="103" t="str">
        <f>IF(AND($L22=$N$7,$C22&lt;'1111'!$N$10),"x","")</f>
        <v/>
      </c>
      <c r="Q22" s="103" t="str">
        <f>IF(AND($C22&gt;='1121'!$N$9,$C22&lt;='1121'!$O$9,OR($K22=$Q$7,$L22=$Q$7)),"x","")</f>
        <v/>
      </c>
      <c r="R22" s="103" t="str">
        <f>IF(AND($K22=$Q$7,$C22&lt;'1121'!$N$9),"x","")</f>
        <v/>
      </c>
      <c r="S22" s="103" t="str">
        <f>IF(AND($L22=$Q$7,$C22&lt;'1121'!$N$9),"x","")</f>
        <v>x</v>
      </c>
      <c r="T22" s="103" t="str">
        <f>IF(AND($C22&gt;='1331'!$I$9,$C22&lt;='1331'!$J$9,OR($K22=$T$7,$L22=$T$7)),"x","")</f>
        <v/>
      </c>
      <c r="U22" s="103" t="str">
        <f>IF(AND($K22=$T$7,$C22&lt;'1331'!$I$9),"x","")</f>
        <v/>
      </c>
      <c r="V22" s="103" t="str">
        <f>IF(AND($L22=$T$7,$C22&lt;'1331'!$I$9),"x","")</f>
        <v/>
      </c>
      <c r="W22" s="103" t="str">
        <f>IF(AND('3411-CT'!$E$9=TH!I22,OR(TH!K22=TH!$W$7,L22=TH!$W$7)),"x","")</f>
        <v/>
      </c>
      <c r="X22" s="103" t="str">
        <f>IF(OR(TH!K22=TH!$X$7,L22=TH!$X$7),"x","")</f>
        <v/>
      </c>
    </row>
    <row r="23" spans="1:24" s="88" customFormat="1">
      <c r="A23" s="178" t="str">
        <f>IF(E23&lt;&gt;"",IF(AND(B23='IN - TC'!$Q$4,OR(TH!K23="1111",TH!L23="1111")),TH!E23,""),"")</f>
        <v/>
      </c>
      <c r="B23" s="73">
        <f t="shared" si="6"/>
        <v>2014</v>
      </c>
      <c r="C23" s="73">
        <f t="shared" si="7"/>
        <v>1</v>
      </c>
      <c r="D23" s="74">
        <v>41641</v>
      </c>
      <c r="E23" s="74" t="s">
        <v>8</v>
      </c>
      <c r="F23" s="74">
        <v>41641</v>
      </c>
      <c r="G23" s="77" t="s">
        <v>21</v>
      </c>
      <c r="H23" s="180"/>
      <c r="I23" s="91"/>
      <c r="J23" s="75">
        <v>20000</v>
      </c>
      <c r="K23" s="76" t="s">
        <v>159</v>
      </c>
      <c r="L23" s="76" t="s">
        <v>34</v>
      </c>
      <c r="M23" s="103" t="str">
        <f>IF(AND('331-CT'!$E$7=TH!I23,OR(K23="331",L23="331")),"x","")</f>
        <v/>
      </c>
      <c r="N23" s="103" t="str">
        <f>IF(AND($C23&gt;='1111'!$N$10,$C23&lt;='1111'!$O$10,OR($K23=$N$7,$L23=$N$7)),"x","")</f>
        <v/>
      </c>
      <c r="O23" s="103" t="str">
        <f>IF(AND($K23=$N$7,$C23&lt;'1111'!$N$10),"x","")</f>
        <v/>
      </c>
      <c r="P23" s="103" t="str">
        <f>IF(AND($L23=$N$7,$C23&lt;'1111'!$N$10),"x","")</f>
        <v/>
      </c>
      <c r="Q23" s="103" t="str">
        <f>IF(AND($C23&gt;='1121'!$N$9,$C23&lt;='1121'!$O$9,OR($K23=$Q$7,$L23=$Q$7)),"x","")</f>
        <v/>
      </c>
      <c r="R23" s="103" t="str">
        <f>IF(AND($K23=$Q$7,$C23&lt;'1121'!$N$9),"x","")</f>
        <v/>
      </c>
      <c r="S23" s="103" t="str">
        <f>IF(AND($L23=$Q$7,$C23&lt;'1121'!$N$9),"x","")</f>
        <v>x</v>
      </c>
      <c r="T23" s="103" t="str">
        <f>IF(AND($C23&gt;='1331'!$I$9,$C23&lt;='1331'!$J$9,OR($K23=$T$7,$L23=$T$7)),"x","")</f>
        <v/>
      </c>
      <c r="U23" s="103" t="str">
        <f>IF(AND($K23=$T$7,$C23&lt;'1331'!$I$9),"x","")</f>
        <v/>
      </c>
      <c r="V23" s="103" t="str">
        <f>IF(AND($L23=$T$7,$C23&lt;'1331'!$I$9),"x","")</f>
        <v/>
      </c>
      <c r="W23" s="103" t="str">
        <f>IF(AND('3411-CT'!$E$9=TH!I23,OR(TH!K23=TH!$W$7,L23=TH!$W$7)),"x","")</f>
        <v/>
      </c>
      <c r="X23" s="103" t="str">
        <f>IF(OR(TH!K23=TH!$X$7,L23=TH!$X$7),"x","")</f>
        <v/>
      </c>
    </row>
    <row r="24" spans="1:24" s="88" customFormat="1">
      <c r="A24" s="178" t="str">
        <f>IF(E24&lt;&gt;"",IF(AND(B24='IN - TC'!$Q$4,OR(TH!K24="1111",TH!L24="1111")),TH!E24,""),"")</f>
        <v/>
      </c>
      <c r="B24" s="73">
        <f t="shared" si="6"/>
        <v>2014</v>
      </c>
      <c r="C24" s="73">
        <f t="shared" si="7"/>
        <v>1</v>
      </c>
      <c r="D24" s="74">
        <v>41641</v>
      </c>
      <c r="E24" s="74" t="s">
        <v>8</v>
      </c>
      <c r="F24" s="74">
        <v>41641</v>
      </c>
      <c r="G24" s="77" t="s">
        <v>22</v>
      </c>
      <c r="H24" s="180"/>
      <c r="I24" s="91"/>
      <c r="J24" s="75">
        <v>2000</v>
      </c>
      <c r="K24" s="76" t="s">
        <v>10</v>
      </c>
      <c r="L24" s="76" t="s">
        <v>34</v>
      </c>
      <c r="M24" s="103" t="str">
        <f>IF(AND('331-CT'!$E$7=TH!I24,OR(K24="331",L24="331")),"x","")</f>
        <v/>
      </c>
      <c r="N24" s="103" t="str">
        <f>IF(AND($C24&gt;='1111'!$N$10,$C24&lt;='1111'!$O$10,OR($K24=$N$7,$L24=$N$7)),"x","")</f>
        <v/>
      </c>
      <c r="O24" s="103" t="str">
        <f>IF(AND($K24=$N$7,$C24&lt;'1111'!$N$10),"x","")</f>
        <v/>
      </c>
      <c r="P24" s="103" t="str">
        <f>IF(AND($L24=$N$7,$C24&lt;'1111'!$N$10),"x","")</f>
        <v/>
      </c>
      <c r="Q24" s="103" t="str">
        <f>IF(AND($C24&gt;='1121'!$N$9,$C24&lt;='1121'!$O$9,OR($K24=$Q$7,$L24=$Q$7)),"x","")</f>
        <v/>
      </c>
      <c r="R24" s="103" t="str">
        <f>IF(AND($K24=$Q$7,$C24&lt;'1121'!$N$9),"x","")</f>
        <v/>
      </c>
      <c r="S24" s="103" t="str">
        <f>IF(AND($L24=$Q$7,$C24&lt;'1121'!$N$9),"x","")</f>
        <v>x</v>
      </c>
      <c r="T24" s="103" t="str">
        <f>IF(AND($C24&gt;='1331'!$I$9,$C24&lt;='1331'!$J$9,OR($K24=$T$7,$L24=$T$7)),"x","")</f>
        <v/>
      </c>
      <c r="U24" s="103" t="str">
        <f>IF(AND($K24=$T$7,$C24&lt;'1331'!$I$9),"x","")</f>
        <v>x</v>
      </c>
      <c r="V24" s="103" t="str">
        <f>IF(AND($L24=$T$7,$C24&lt;'1331'!$I$9),"x","")</f>
        <v/>
      </c>
      <c r="W24" s="103" t="str">
        <f>IF(AND('3411-CT'!$E$9=TH!I24,OR(TH!K24=TH!$W$7,L24=TH!$W$7)),"x","")</f>
        <v/>
      </c>
      <c r="X24" s="103" t="str">
        <f>IF(OR(TH!K24=TH!$X$7,L24=TH!$X$7),"x","")</f>
        <v/>
      </c>
    </row>
    <row r="25" spans="1:24" s="88" customFormat="1">
      <c r="A25" s="178" t="str">
        <f>IF(E25&lt;&gt;"",IF(AND(B25='IN - TC'!$Q$4,OR(TH!K25="1111",TH!L25="1111")),TH!E25,""),"")</f>
        <v>C02</v>
      </c>
      <c r="B25" s="73">
        <f t="shared" si="6"/>
        <v>2014</v>
      </c>
      <c r="C25" s="73">
        <f t="shared" si="7"/>
        <v>1</v>
      </c>
      <c r="D25" s="74">
        <v>41653</v>
      </c>
      <c r="E25" s="74" t="s">
        <v>60</v>
      </c>
      <c r="F25" s="74">
        <v>41653</v>
      </c>
      <c r="G25" s="77" t="s">
        <v>223</v>
      </c>
      <c r="H25" s="180"/>
      <c r="I25" s="91" t="s">
        <v>184</v>
      </c>
      <c r="J25" s="75">
        <v>379000000</v>
      </c>
      <c r="K25" s="76" t="s">
        <v>23</v>
      </c>
      <c r="L25" s="76" t="s">
        <v>120</v>
      </c>
      <c r="M25" s="103" t="str">
        <f>IF(AND('331-CT'!$E$7=TH!I25,OR(K25="331",L25="331")),"x","")</f>
        <v/>
      </c>
      <c r="N25" s="103" t="str">
        <f>IF(AND($C25&gt;='1111'!$N$10,$C25&lt;='1111'!$O$10,OR($K25=$N$7,$L25=$N$7)),"x","")</f>
        <v/>
      </c>
      <c r="O25" s="103" t="str">
        <f>IF(AND($K25=$N$7,$C25&lt;'1111'!$N$10),"x","")</f>
        <v/>
      </c>
      <c r="P25" s="103" t="str">
        <f>IF(AND($L25=$N$7,$C25&lt;'1111'!$N$10),"x","")</f>
        <v>x</v>
      </c>
      <c r="Q25" s="103" t="str">
        <f>IF(AND($C25&gt;='1121'!$N$9,$C25&lt;='1121'!$O$9,OR($K25=$Q$7,$L25=$Q$7)),"x","")</f>
        <v/>
      </c>
      <c r="R25" s="103" t="str">
        <f>IF(AND($K25=$Q$7,$C25&lt;'1121'!$N$9),"x","")</f>
        <v/>
      </c>
      <c r="S25" s="103" t="str">
        <f>IF(AND($L25=$Q$7,$C25&lt;'1121'!$N$9),"x","")</f>
        <v/>
      </c>
      <c r="T25" s="103" t="str">
        <f>IF(AND($C25&gt;='1331'!$I$9,$C25&lt;='1331'!$J$9,OR($K25=$T$7,$L25=$T$7)),"x","")</f>
        <v/>
      </c>
      <c r="U25" s="103" t="str">
        <f>IF(AND($K25=$T$7,$C25&lt;'1331'!$I$9),"x","")</f>
        <v/>
      </c>
      <c r="V25" s="103" t="str">
        <f>IF(AND($L25=$T$7,$C25&lt;'1331'!$I$9),"x","")</f>
        <v/>
      </c>
      <c r="W25" s="103" t="str">
        <f>IF(AND('3411-CT'!$E$9=TH!I25,OR(TH!K25=TH!$W$7,L25=TH!$W$7)),"x","")</f>
        <v/>
      </c>
      <c r="X25" s="103" t="str">
        <f>IF(OR(TH!K25=TH!$X$7,L25=TH!$X$7),"x","")</f>
        <v/>
      </c>
    </row>
    <row r="26" spans="1:24" s="88" customFormat="1">
      <c r="A26" s="178" t="str">
        <f>IF(E26&lt;&gt;"",IF(AND(B26='IN - TC'!$Q$4,OR(TH!K26="1111",TH!L26="1111")),TH!E26,""),"")</f>
        <v/>
      </c>
      <c r="B26" s="73">
        <f t="shared" si="6"/>
        <v>2014</v>
      </c>
      <c r="C26" s="73">
        <f t="shared" si="7"/>
        <v>1</v>
      </c>
      <c r="D26" s="74">
        <v>41653</v>
      </c>
      <c r="E26" s="74" t="s">
        <v>11</v>
      </c>
      <c r="F26" s="74">
        <v>41653</v>
      </c>
      <c r="G26" s="80" t="s">
        <v>27</v>
      </c>
      <c r="H26" s="180"/>
      <c r="I26" s="91" t="s">
        <v>184</v>
      </c>
      <c r="J26" s="75">
        <v>379000000</v>
      </c>
      <c r="K26" s="76" t="s">
        <v>34</v>
      </c>
      <c r="L26" s="76" t="s">
        <v>23</v>
      </c>
      <c r="M26" s="103" t="str">
        <f>IF(AND('331-CT'!$E$7=TH!I26,OR(K26="331",L26="331")),"x","")</f>
        <v/>
      </c>
      <c r="N26" s="103" t="str">
        <f>IF(AND($C26&gt;='1111'!$N$10,$C26&lt;='1111'!$O$10,OR($K26=$N$7,$L26=$N$7)),"x","")</f>
        <v/>
      </c>
      <c r="O26" s="103" t="str">
        <f>IF(AND($K26=$N$7,$C26&lt;'1111'!$N$10),"x","")</f>
        <v/>
      </c>
      <c r="P26" s="103" t="str">
        <f>IF(AND($L26=$N$7,$C26&lt;'1111'!$N$10),"x","")</f>
        <v/>
      </c>
      <c r="Q26" s="103" t="str">
        <f>IF(AND($C26&gt;='1121'!$N$9,$C26&lt;='1121'!$O$9,OR($K26=$Q$7,$L26=$Q$7)),"x","")</f>
        <v/>
      </c>
      <c r="R26" s="103" t="str">
        <f>IF(AND($K26=$Q$7,$C26&lt;'1121'!$N$9),"x","")</f>
        <v>x</v>
      </c>
      <c r="S26" s="103" t="str">
        <f>IF(AND($L26=$Q$7,$C26&lt;'1121'!$N$9),"x","")</f>
        <v/>
      </c>
      <c r="T26" s="103" t="str">
        <f>IF(AND($C26&gt;='1331'!$I$9,$C26&lt;='1331'!$J$9,OR($K26=$T$7,$L26=$T$7)),"x","")</f>
        <v/>
      </c>
      <c r="U26" s="103" t="str">
        <f>IF(AND($K26=$T$7,$C26&lt;'1331'!$I$9),"x","")</f>
        <v/>
      </c>
      <c r="V26" s="103" t="str">
        <f>IF(AND($L26=$T$7,$C26&lt;'1331'!$I$9),"x","")</f>
        <v/>
      </c>
      <c r="W26" s="103" t="str">
        <f>IF(AND('3411-CT'!$E$9=TH!I26,OR(TH!K26=TH!$W$7,L26=TH!$W$7)),"x","")</f>
        <v/>
      </c>
      <c r="X26" s="103" t="str">
        <f>IF(OR(TH!K26=TH!$X$7,L26=TH!$X$7),"x","")</f>
        <v/>
      </c>
    </row>
    <row r="27" spans="1:24" s="88" customFormat="1">
      <c r="A27" s="178" t="str">
        <f>IF(E27&lt;&gt;"",IF(AND(B27='IN - TC'!$Q$4,OR(TH!K27="1111",TH!L27="1111")),TH!E27,""),"")</f>
        <v/>
      </c>
      <c r="B27" s="73">
        <f t="shared" si="6"/>
        <v>2014</v>
      </c>
      <c r="C27" s="73">
        <f t="shared" si="7"/>
        <v>1</v>
      </c>
      <c r="D27" s="74">
        <v>41653</v>
      </c>
      <c r="E27" s="74" t="s">
        <v>8</v>
      </c>
      <c r="F27" s="74">
        <v>41653</v>
      </c>
      <c r="G27" s="77" t="s">
        <v>21</v>
      </c>
      <c r="H27" s="180"/>
      <c r="I27" s="91"/>
      <c r="J27" s="75">
        <v>113634</v>
      </c>
      <c r="K27" s="76" t="s">
        <v>159</v>
      </c>
      <c r="L27" s="76" t="s">
        <v>34</v>
      </c>
      <c r="M27" s="103" t="str">
        <f>IF(AND('331-CT'!$E$7=TH!I27,OR(K27="331",L27="331")),"x","")</f>
        <v/>
      </c>
      <c r="N27" s="103" t="str">
        <f>IF(AND($C27&gt;='1111'!$N$10,$C27&lt;='1111'!$O$10,OR($K27=$N$7,$L27=$N$7)),"x","")</f>
        <v/>
      </c>
      <c r="O27" s="103" t="str">
        <f>IF(AND($K27=$N$7,$C27&lt;'1111'!$N$10),"x","")</f>
        <v/>
      </c>
      <c r="P27" s="103" t="str">
        <f>IF(AND($L27=$N$7,$C27&lt;'1111'!$N$10),"x","")</f>
        <v/>
      </c>
      <c r="Q27" s="103" t="str">
        <f>IF(AND($C27&gt;='1121'!$N$9,$C27&lt;='1121'!$O$9,OR($K27=$Q$7,$L27=$Q$7)),"x","")</f>
        <v/>
      </c>
      <c r="R27" s="103" t="str">
        <f>IF(AND($K27=$Q$7,$C27&lt;'1121'!$N$9),"x","")</f>
        <v/>
      </c>
      <c r="S27" s="103" t="str">
        <f>IF(AND($L27=$Q$7,$C27&lt;'1121'!$N$9),"x","")</f>
        <v>x</v>
      </c>
      <c r="T27" s="103" t="str">
        <f>IF(AND($C27&gt;='1331'!$I$9,$C27&lt;='1331'!$J$9,OR($K27=$T$7,$L27=$T$7)),"x","")</f>
        <v/>
      </c>
      <c r="U27" s="103" t="str">
        <f>IF(AND($K27=$T$7,$C27&lt;'1331'!$I$9),"x","")</f>
        <v/>
      </c>
      <c r="V27" s="103" t="str">
        <f>IF(AND($L27=$T$7,$C27&lt;'1331'!$I$9),"x","")</f>
        <v/>
      </c>
      <c r="W27" s="103" t="str">
        <f>IF(AND('3411-CT'!$E$9=TH!I27,OR(TH!K27=TH!$W$7,L27=TH!$W$7)),"x","")</f>
        <v/>
      </c>
      <c r="X27" s="103" t="str">
        <f>IF(OR(TH!K27=TH!$X$7,L27=TH!$X$7),"x","")</f>
        <v/>
      </c>
    </row>
    <row r="28" spans="1:24" s="88" customFormat="1">
      <c r="A28" s="178" t="str">
        <f>IF(E28&lt;&gt;"",IF(AND(B28='IN - TC'!$Q$4,OR(TH!K28="1111",TH!L28="1111")),TH!E28,""),"")</f>
        <v/>
      </c>
      <c r="B28" s="73">
        <f t="shared" si="6"/>
        <v>2014</v>
      </c>
      <c r="C28" s="73">
        <f t="shared" si="7"/>
        <v>1</v>
      </c>
      <c r="D28" s="74">
        <v>41653</v>
      </c>
      <c r="E28" s="74" t="s">
        <v>8</v>
      </c>
      <c r="F28" s="74">
        <v>41653</v>
      </c>
      <c r="G28" s="77" t="s">
        <v>22</v>
      </c>
      <c r="H28" s="180"/>
      <c r="I28" s="91"/>
      <c r="J28" s="75">
        <v>11363</v>
      </c>
      <c r="K28" s="76" t="s">
        <v>10</v>
      </c>
      <c r="L28" s="76" t="s">
        <v>34</v>
      </c>
      <c r="M28" s="103" t="str">
        <f>IF(AND('331-CT'!$E$7=TH!I28,OR(K28="331",L28="331")),"x","")</f>
        <v/>
      </c>
      <c r="N28" s="103" t="str">
        <f>IF(AND($C28&gt;='1111'!$N$10,$C28&lt;='1111'!$O$10,OR($K28=$N$7,$L28=$N$7)),"x","")</f>
        <v/>
      </c>
      <c r="O28" s="103" t="str">
        <f>IF(AND($K28=$N$7,$C28&lt;'1111'!$N$10),"x","")</f>
        <v/>
      </c>
      <c r="P28" s="103" t="str">
        <f>IF(AND($L28=$N$7,$C28&lt;'1111'!$N$10),"x","")</f>
        <v/>
      </c>
      <c r="Q28" s="103" t="str">
        <f>IF(AND($C28&gt;='1121'!$N$9,$C28&lt;='1121'!$O$9,OR($K28=$Q$7,$L28=$Q$7)),"x","")</f>
        <v/>
      </c>
      <c r="R28" s="103" t="str">
        <f>IF(AND($K28=$Q$7,$C28&lt;'1121'!$N$9),"x","")</f>
        <v/>
      </c>
      <c r="S28" s="103" t="str">
        <f>IF(AND($L28=$Q$7,$C28&lt;'1121'!$N$9),"x","")</f>
        <v>x</v>
      </c>
      <c r="T28" s="103" t="str">
        <f>IF(AND($C28&gt;='1331'!$I$9,$C28&lt;='1331'!$J$9,OR($K28=$T$7,$L28=$T$7)),"x","")</f>
        <v/>
      </c>
      <c r="U28" s="103" t="str">
        <f>IF(AND($K28=$T$7,$C28&lt;'1331'!$I$9),"x","")</f>
        <v>x</v>
      </c>
      <c r="V28" s="103" t="str">
        <f>IF(AND($L28=$T$7,$C28&lt;'1331'!$I$9),"x","")</f>
        <v/>
      </c>
      <c r="W28" s="103" t="str">
        <f>IF(AND('3411-CT'!$E$9=TH!I28,OR(TH!K28=TH!$W$7,L28=TH!$W$7)),"x","")</f>
        <v/>
      </c>
      <c r="X28" s="103" t="str">
        <f>IF(OR(TH!K28=TH!$X$7,L28=TH!$X$7),"x","")</f>
        <v/>
      </c>
    </row>
    <row r="29" spans="1:24" s="88" customFormat="1">
      <c r="A29" s="178" t="str">
        <f>IF(E29&lt;&gt;"",IF(AND(B29='IN - TC'!$Q$4,OR(TH!K29="1111",TH!L29="1111")),TH!E29,""),"")</f>
        <v/>
      </c>
      <c r="B29" s="73">
        <f t="shared" si="6"/>
        <v>2014</v>
      </c>
      <c r="C29" s="73">
        <f t="shared" si="7"/>
        <v>1</v>
      </c>
      <c r="D29" s="74">
        <v>41653</v>
      </c>
      <c r="E29" s="74" t="s">
        <v>49</v>
      </c>
      <c r="F29" s="74">
        <v>41653</v>
      </c>
      <c r="G29" s="77" t="s">
        <v>350</v>
      </c>
      <c r="H29" s="180" t="s">
        <v>338</v>
      </c>
      <c r="I29" s="91" t="s">
        <v>54</v>
      </c>
      <c r="J29" s="75">
        <v>27200000</v>
      </c>
      <c r="K29" s="76" t="s">
        <v>159</v>
      </c>
      <c r="L29" s="76" t="s">
        <v>9</v>
      </c>
      <c r="M29" s="103" t="str">
        <f>IF(AND('331-CT'!$E$7=TH!I29,OR(K29="331",L29="331")),"x","")</f>
        <v/>
      </c>
      <c r="N29" s="103" t="str">
        <f>IF(AND($C29&gt;='1111'!$N$10,$C29&lt;='1111'!$O$10,OR($K29=$N$7,$L29=$N$7)),"x","")</f>
        <v/>
      </c>
      <c r="O29" s="103" t="str">
        <f>IF(AND($K29=$N$7,$C29&lt;'1111'!$N$10),"x","")</f>
        <v/>
      </c>
      <c r="P29" s="103" t="str">
        <f>IF(AND($L29=$N$7,$C29&lt;'1111'!$N$10),"x","")</f>
        <v/>
      </c>
      <c r="Q29" s="103" t="str">
        <f>IF(AND($C29&gt;='1121'!$N$9,$C29&lt;='1121'!$O$9,OR($K29=$Q$7,$L29=$Q$7)),"x","")</f>
        <v/>
      </c>
      <c r="R29" s="103" t="str">
        <f>IF(AND($K29=$Q$7,$C29&lt;'1121'!$N$9),"x","")</f>
        <v/>
      </c>
      <c r="S29" s="103" t="str">
        <f>IF(AND($L29=$Q$7,$C29&lt;'1121'!$N$9),"x","")</f>
        <v/>
      </c>
      <c r="T29" s="103" t="str">
        <f>IF(AND($C29&gt;='1331'!$I$9,$C29&lt;='1331'!$J$9,OR($K29=$T$7,$L29=$T$7)),"x","")</f>
        <v/>
      </c>
      <c r="U29" s="103" t="str">
        <f>IF(AND($K29=$T$7,$C29&lt;'1331'!$I$9),"x","")</f>
        <v/>
      </c>
      <c r="V29" s="103" t="str">
        <f>IF(AND($L29=$T$7,$C29&lt;'1331'!$I$9),"x","")</f>
        <v/>
      </c>
      <c r="W29" s="103" t="str">
        <f>IF(AND('3411-CT'!$E$9=TH!I29,OR(TH!K29=TH!$W$7,L29=TH!$W$7)),"x","")</f>
        <v/>
      </c>
      <c r="X29" s="103" t="str">
        <f>IF(OR(TH!K29=TH!$X$7,L29=TH!$X$7),"x","")</f>
        <v/>
      </c>
    </row>
    <row r="30" spans="1:24" s="88" customFormat="1">
      <c r="A30" s="178" t="str">
        <f>IF(E30&lt;&gt;"",IF(AND(B30='IN - TC'!$Q$4,OR(TH!K30="1111",TH!L30="1111")),TH!E30,""),"")</f>
        <v/>
      </c>
      <c r="B30" s="73">
        <f t="shared" si="6"/>
        <v>2014</v>
      </c>
      <c r="C30" s="73">
        <f t="shared" si="7"/>
        <v>1</v>
      </c>
      <c r="D30" s="74">
        <v>41653</v>
      </c>
      <c r="E30" s="74" t="s">
        <v>49</v>
      </c>
      <c r="F30" s="74">
        <v>41653</v>
      </c>
      <c r="G30" s="77" t="s">
        <v>351</v>
      </c>
      <c r="H30" s="180" t="s">
        <v>338</v>
      </c>
      <c r="I30" s="91" t="s">
        <v>54</v>
      </c>
      <c r="J30" s="75">
        <v>2720000</v>
      </c>
      <c r="K30" s="76" t="s">
        <v>10</v>
      </c>
      <c r="L30" s="76" t="s">
        <v>9</v>
      </c>
      <c r="M30" s="103" t="str">
        <f>IF(AND('331-CT'!$E$7=TH!I30,OR(K30="331",L30="331")),"x","")</f>
        <v/>
      </c>
      <c r="N30" s="103" t="str">
        <f>IF(AND($C30&gt;='1111'!$N$10,$C30&lt;='1111'!$O$10,OR($K30=$N$7,$L30=$N$7)),"x","")</f>
        <v/>
      </c>
      <c r="O30" s="103" t="str">
        <f>IF(AND($K30=$N$7,$C30&lt;'1111'!$N$10),"x","")</f>
        <v/>
      </c>
      <c r="P30" s="103" t="str">
        <f>IF(AND($L30=$N$7,$C30&lt;'1111'!$N$10),"x","")</f>
        <v/>
      </c>
      <c r="Q30" s="103" t="str">
        <f>IF(AND($C30&gt;='1121'!$N$9,$C30&lt;='1121'!$O$9,OR($K30=$Q$7,$L30=$Q$7)),"x","")</f>
        <v/>
      </c>
      <c r="R30" s="103" t="str">
        <f>IF(AND($K30=$Q$7,$C30&lt;'1121'!$N$9),"x","")</f>
        <v/>
      </c>
      <c r="S30" s="103" t="str">
        <f>IF(AND($L30=$Q$7,$C30&lt;'1121'!$N$9),"x","")</f>
        <v/>
      </c>
      <c r="T30" s="103" t="str">
        <f>IF(AND($C30&gt;='1331'!$I$9,$C30&lt;='1331'!$J$9,OR($K30=$T$7,$L30=$T$7)),"x","")</f>
        <v/>
      </c>
      <c r="U30" s="103" t="str">
        <f>IF(AND($K30=$T$7,$C30&lt;'1331'!$I$9),"x","")</f>
        <v>x</v>
      </c>
      <c r="V30" s="103" t="str">
        <f>IF(AND($L30=$T$7,$C30&lt;'1331'!$I$9),"x","")</f>
        <v/>
      </c>
      <c r="W30" s="103" t="str">
        <f>IF(AND('3411-CT'!$E$9=TH!I30,OR(TH!K30=TH!$W$7,L30=TH!$W$7)),"x","")</f>
        <v/>
      </c>
      <c r="X30" s="103" t="str">
        <f>IF(OR(TH!K30=TH!$X$7,L30=TH!$X$7),"x","")</f>
        <v/>
      </c>
    </row>
    <row r="31" spans="1:24" s="88" customFormat="1">
      <c r="A31" s="178" t="str">
        <f>IF(E31&lt;&gt;"",IF(AND(B31='IN - TC'!$Q$4,OR(TH!K31="1111",TH!L31="1111")),TH!E31,""),"")</f>
        <v>C03</v>
      </c>
      <c r="B31" s="73">
        <f t="shared" si="6"/>
        <v>2014</v>
      </c>
      <c r="C31" s="73">
        <f t="shared" si="7"/>
        <v>1</v>
      </c>
      <c r="D31" s="74">
        <v>41660</v>
      </c>
      <c r="E31" s="74" t="s">
        <v>61</v>
      </c>
      <c r="F31" s="74">
        <v>41660</v>
      </c>
      <c r="G31" s="77" t="s">
        <v>223</v>
      </c>
      <c r="H31" s="180"/>
      <c r="I31" s="91" t="s">
        <v>184</v>
      </c>
      <c r="J31" s="75">
        <v>1500000</v>
      </c>
      <c r="K31" s="76" t="s">
        <v>23</v>
      </c>
      <c r="L31" s="76" t="s">
        <v>120</v>
      </c>
      <c r="M31" s="103" t="str">
        <f>IF(AND('331-CT'!$E$7=TH!I31,OR(K31="331",L31="331")),"x","")</f>
        <v/>
      </c>
      <c r="N31" s="103" t="str">
        <f>IF(AND($C31&gt;='1111'!$N$10,$C31&lt;='1111'!$O$10,OR($K31=$N$7,$L31=$N$7)),"x","")</f>
        <v/>
      </c>
      <c r="O31" s="103" t="str">
        <f>IF(AND($K31=$N$7,$C31&lt;'1111'!$N$10),"x","")</f>
        <v/>
      </c>
      <c r="P31" s="103" t="str">
        <f>IF(AND($L31=$N$7,$C31&lt;'1111'!$N$10),"x","")</f>
        <v>x</v>
      </c>
      <c r="Q31" s="103" t="str">
        <f>IF(AND($C31&gt;='1121'!$N$9,$C31&lt;='1121'!$O$9,OR($K31=$Q$7,$L31=$Q$7)),"x","")</f>
        <v/>
      </c>
      <c r="R31" s="103" t="str">
        <f>IF(AND($K31=$Q$7,$C31&lt;'1121'!$N$9),"x","")</f>
        <v/>
      </c>
      <c r="S31" s="103" t="str">
        <f>IF(AND($L31=$Q$7,$C31&lt;'1121'!$N$9),"x","")</f>
        <v/>
      </c>
      <c r="T31" s="103" t="str">
        <f>IF(AND($C31&gt;='1331'!$I$9,$C31&lt;='1331'!$J$9,OR($K31=$T$7,$L31=$T$7)),"x","")</f>
        <v/>
      </c>
      <c r="U31" s="103" t="str">
        <f>IF(AND($K31=$T$7,$C31&lt;'1331'!$I$9),"x","")</f>
        <v/>
      </c>
      <c r="V31" s="103" t="str">
        <f>IF(AND($L31=$T$7,$C31&lt;'1331'!$I$9),"x","")</f>
        <v/>
      </c>
      <c r="W31" s="103" t="str">
        <f>IF(AND('3411-CT'!$E$9=TH!I31,OR(TH!K31=TH!$W$7,L31=TH!$W$7)),"x","")</f>
        <v/>
      </c>
      <c r="X31" s="103" t="str">
        <f>IF(OR(TH!K31=TH!$X$7,L31=TH!$X$7),"x","")</f>
        <v/>
      </c>
    </row>
    <row r="32" spans="1:24" s="88" customFormat="1">
      <c r="A32" s="178" t="str">
        <f>IF(E32&lt;&gt;"",IF(AND(B32='IN - TC'!$Q$4,OR(TH!K32="1111",TH!L32="1111")),TH!E32,""),"")</f>
        <v/>
      </c>
      <c r="B32" s="73">
        <f t="shared" si="6"/>
        <v>2014</v>
      </c>
      <c r="C32" s="73">
        <f t="shared" si="7"/>
        <v>1</v>
      </c>
      <c r="D32" s="86">
        <v>41660</v>
      </c>
      <c r="E32" s="74" t="s">
        <v>11</v>
      </c>
      <c r="F32" s="74">
        <v>41660</v>
      </c>
      <c r="G32" s="77" t="s">
        <v>27</v>
      </c>
      <c r="H32" s="180"/>
      <c r="I32" s="91" t="s">
        <v>184</v>
      </c>
      <c r="J32" s="75">
        <v>1500000</v>
      </c>
      <c r="K32" s="76" t="s">
        <v>34</v>
      </c>
      <c r="L32" s="76" t="s">
        <v>23</v>
      </c>
      <c r="M32" s="103" t="str">
        <f>IF(AND('331-CT'!$E$7=TH!I32,OR(K32="331",L32="331")),"x","")</f>
        <v/>
      </c>
      <c r="N32" s="103" t="str">
        <f>IF(AND($C32&gt;='1111'!$N$10,$C32&lt;='1111'!$O$10,OR($K32=$N$7,$L32=$N$7)),"x","")</f>
        <v/>
      </c>
      <c r="O32" s="103" t="str">
        <f>IF(AND($K32=$N$7,$C32&lt;'1111'!$N$10),"x","")</f>
        <v/>
      </c>
      <c r="P32" s="103" t="str">
        <f>IF(AND($L32=$N$7,$C32&lt;'1111'!$N$10),"x","")</f>
        <v/>
      </c>
      <c r="Q32" s="103" t="str">
        <f>IF(AND($C32&gt;='1121'!$N$9,$C32&lt;='1121'!$O$9,OR($K32=$Q$7,$L32=$Q$7)),"x","")</f>
        <v/>
      </c>
      <c r="R32" s="103" t="str">
        <f>IF(AND($K32=$Q$7,$C32&lt;'1121'!$N$9),"x","")</f>
        <v>x</v>
      </c>
      <c r="S32" s="103" t="str">
        <f>IF(AND($L32=$Q$7,$C32&lt;'1121'!$N$9),"x","")</f>
        <v/>
      </c>
      <c r="T32" s="103" t="str">
        <f>IF(AND($C32&gt;='1331'!$I$9,$C32&lt;='1331'!$J$9,OR($K32=$T$7,$L32=$T$7)),"x","")</f>
        <v/>
      </c>
      <c r="U32" s="103" t="str">
        <f>IF(AND($K32=$T$7,$C32&lt;'1331'!$I$9),"x","")</f>
        <v/>
      </c>
      <c r="V32" s="103" t="str">
        <f>IF(AND($L32=$T$7,$C32&lt;'1331'!$I$9),"x","")</f>
        <v/>
      </c>
      <c r="W32" s="103" t="str">
        <f>IF(AND('3411-CT'!$E$9=TH!I32,OR(TH!K32=TH!$W$7,L32=TH!$W$7)),"x","")</f>
        <v/>
      </c>
      <c r="X32" s="103" t="str">
        <f>IF(OR(TH!K32=TH!$X$7,L32=TH!$X$7),"x","")</f>
        <v/>
      </c>
    </row>
    <row r="33" spans="1:24" s="88" customFormat="1">
      <c r="A33" s="178" t="str">
        <f>IF(E33&lt;&gt;"",IF(AND(B33='IN - TC'!$Q$4,OR(TH!K33="1111",TH!L33="1111")),TH!E33,""),"")</f>
        <v/>
      </c>
      <c r="B33" s="73">
        <f t="shared" si="6"/>
        <v>2014</v>
      </c>
      <c r="C33" s="73">
        <f t="shared" si="7"/>
        <v>1</v>
      </c>
      <c r="D33" s="86">
        <v>41660</v>
      </c>
      <c r="E33" s="74" t="s">
        <v>49</v>
      </c>
      <c r="F33" s="74">
        <v>41660</v>
      </c>
      <c r="G33" s="77" t="s">
        <v>341</v>
      </c>
      <c r="H33" s="180"/>
      <c r="I33" s="91"/>
      <c r="J33" s="75">
        <v>1500000</v>
      </c>
      <c r="K33" s="76" t="s">
        <v>159</v>
      </c>
      <c r="L33" s="76" t="s">
        <v>136</v>
      </c>
      <c r="M33" s="103" t="str">
        <f>IF(AND('331-CT'!$E$7=TH!I33,OR(K33="331",L33="331")),"x","")</f>
        <v/>
      </c>
      <c r="N33" s="103" t="str">
        <f>IF(AND($C33&gt;='1111'!$N$10,$C33&lt;='1111'!$O$10,OR($K33=$N$7,$L33=$N$7)),"x","")</f>
        <v/>
      </c>
      <c r="O33" s="103" t="str">
        <f>IF(AND($K33=$N$7,$C33&lt;'1111'!$N$10),"x","")</f>
        <v/>
      </c>
      <c r="P33" s="103" t="str">
        <f>IF(AND($L33=$N$7,$C33&lt;'1111'!$N$10),"x","")</f>
        <v/>
      </c>
      <c r="Q33" s="103" t="str">
        <f>IF(AND($C33&gt;='1121'!$N$9,$C33&lt;='1121'!$O$9,OR($K33=$Q$7,$L33=$Q$7)),"x","")</f>
        <v/>
      </c>
      <c r="R33" s="103" t="str">
        <f>IF(AND($K33=$Q$7,$C33&lt;'1121'!$N$9),"x","")</f>
        <v/>
      </c>
      <c r="S33" s="103" t="str">
        <f>IF(AND($L33=$Q$7,$C33&lt;'1121'!$N$9),"x","")</f>
        <v/>
      </c>
      <c r="T33" s="103" t="str">
        <f>IF(AND($C33&gt;='1331'!$I$9,$C33&lt;='1331'!$J$9,OR($K33=$T$7,$L33=$T$7)),"x","")</f>
        <v/>
      </c>
      <c r="U33" s="103" t="str">
        <f>IF(AND($K33=$T$7,$C33&lt;'1331'!$I$9),"x","")</f>
        <v/>
      </c>
      <c r="V33" s="103" t="str">
        <f>IF(AND($L33=$T$7,$C33&lt;'1331'!$I$9),"x","")</f>
        <v/>
      </c>
      <c r="W33" s="103" t="str">
        <f>IF(AND('3411-CT'!$E$9=TH!I33,OR(TH!K33=TH!$W$7,L33=TH!$W$7)),"x","")</f>
        <v/>
      </c>
      <c r="X33" s="103" t="str">
        <f>IF(OR(TH!K33=TH!$X$7,L33=TH!$X$7),"x","")</f>
        <v/>
      </c>
    </row>
    <row r="34" spans="1:24" s="88" customFormat="1">
      <c r="A34" s="178" t="str">
        <f>IF(E34&lt;&gt;"",IF(AND(B34='IN - TC'!$Q$4,OR(TH!K34="1111",TH!L34="1111")),TH!E34,""),"")</f>
        <v/>
      </c>
      <c r="B34" s="73">
        <f t="shared" si="6"/>
        <v>2014</v>
      </c>
      <c r="C34" s="73">
        <f t="shared" si="7"/>
        <v>1</v>
      </c>
      <c r="D34" s="86">
        <v>41660</v>
      </c>
      <c r="E34" s="74" t="s">
        <v>8</v>
      </c>
      <c r="F34" s="74">
        <v>41660</v>
      </c>
      <c r="G34" s="77" t="s">
        <v>341</v>
      </c>
      <c r="H34" s="180"/>
      <c r="I34" s="91"/>
      <c r="J34" s="75">
        <v>1500000</v>
      </c>
      <c r="K34" s="76" t="s">
        <v>136</v>
      </c>
      <c r="L34" s="76" t="s">
        <v>34</v>
      </c>
      <c r="M34" s="103" t="str">
        <f>IF(AND('331-CT'!$E$7=TH!I34,OR(K34="331",L34="331")),"x","")</f>
        <v/>
      </c>
      <c r="N34" s="103" t="str">
        <f>IF(AND($C34&gt;='1111'!$N$10,$C34&lt;='1111'!$O$10,OR($K34=$N$7,$L34=$N$7)),"x","")</f>
        <v/>
      </c>
      <c r="O34" s="103" t="str">
        <f>IF(AND($K34=$N$7,$C34&lt;'1111'!$N$10),"x","")</f>
        <v/>
      </c>
      <c r="P34" s="103" t="str">
        <f>IF(AND($L34=$N$7,$C34&lt;'1111'!$N$10),"x","")</f>
        <v/>
      </c>
      <c r="Q34" s="103" t="str">
        <f>IF(AND($C34&gt;='1121'!$N$9,$C34&lt;='1121'!$O$9,OR($K34=$Q$7,$L34=$Q$7)),"x","")</f>
        <v/>
      </c>
      <c r="R34" s="103" t="str">
        <f>IF(AND($K34=$Q$7,$C34&lt;'1121'!$N$9),"x","")</f>
        <v/>
      </c>
      <c r="S34" s="103" t="str">
        <f>IF(AND($L34=$Q$7,$C34&lt;'1121'!$N$9),"x","")</f>
        <v>x</v>
      </c>
      <c r="T34" s="103" t="str">
        <f>IF(AND($C34&gt;='1331'!$I$9,$C34&lt;='1331'!$J$9,OR($K34=$T$7,$L34=$T$7)),"x","")</f>
        <v/>
      </c>
      <c r="U34" s="103" t="str">
        <f>IF(AND($K34=$T$7,$C34&lt;'1331'!$I$9),"x","")</f>
        <v/>
      </c>
      <c r="V34" s="103" t="str">
        <f>IF(AND($L34=$T$7,$C34&lt;'1331'!$I$9),"x","")</f>
        <v/>
      </c>
      <c r="W34" s="103" t="str">
        <f>IF(AND('3411-CT'!$E$9=TH!I34,OR(TH!K34=TH!$W$7,L34=TH!$W$7)),"x","")</f>
        <v/>
      </c>
      <c r="X34" s="103" t="str">
        <f>IF(OR(TH!K34=TH!$X$7,L34=TH!$X$7),"x","")</f>
        <v/>
      </c>
    </row>
    <row r="35" spans="1:24" s="88" customFormat="1">
      <c r="A35" s="178" t="str">
        <f>IF(E35&lt;&gt;"",IF(AND(B35='IN - TC'!$Q$4,OR(TH!K35="1111",TH!L35="1111")),TH!E35,""),"")</f>
        <v/>
      </c>
      <c r="B35" s="73">
        <f t="shared" si="6"/>
        <v>2014</v>
      </c>
      <c r="C35" s="73">
        <f t="shared" si="7"/>
        <v>1</v>
      </c>
      <c r="D35" s="74">
        <v>41660</v>
      </c>
      <c r="E35" s="74" t="s">
        <v>8</v>
      </c>
      <c r="F35" s="74">
        <v>41660</v>
      </c>
      <c r="G35" s="77" t="s">
        <v>21</v>
      </c>
      <c r="H35" s="180"/>
      <c r="I35" s="91"/>
      <c r="J35" s="75">
        <v>20000</v>
      </c>
      <c r="K35" s="76" t="s">
        <v>159</v>
      </c>
      <c r="L35" s="76" t="s">
        <v>34</v>
      </c>
      <c r="M35" s="103" t="str">
        <f>IF(AND('331-CT'!$E$7=TH!I35,OR(K35="331",L35="331")),"x","")</f>
        <v/>
      </c>
      <c r="N35" s="103" t="str">
        <f>IF(AND($C35&gt;='1111'!$N$10,$C35&lt;='1111'!$O$10,OR($K35=$N$7,$L35=$N$7)),"x","")</f>
        <v/>
      </c>
      <c r="O35" s="103" t="str">
        <f>IF(AND($K35=$N$7,$C35&lt;'1111'!$N$10),"x","")</f>
        <v/>
      </c>
      <c r="P35" s="103" t="str">
        <f>IF(AND($L35=$N$7,$C35&lt;'1111'!$N$10),"x","")</f>
        <v/>
      </c>
      <c r="Q35" s="103" t="str">
        <f>IF(AND($C35&gt;='1121'!$N$9,$C35&lt;='1121'!$O$9,OR($K35=$Q$7,$L35=$Q$7)),"x","")</f>
        <v/>
      </c>
      <c r="R35" s="103" t="str">
        <f>IF(AND($K35=$Q$7,$C35&lt;'1121'!$N$9),"x","")</f>
        <v/>
      </c>
      <c r="S35" s="103" t="str">
        <f>IF(AND($L35=$Q$7,$C35&lt;'1121'!$N$9),"x","")</f>
        <v>x</v>
      </c>
      <c r="T35" s="103" t="str">
        <f>IF(AND($C35&gt;='1331'!$I$9,$C35&lt;='1331'!$J$9,OR($K35=$T$7,$L35=$T$7)),"x","")</f>
        <v/>
      </c>
      <c r="U35" s="103" t="str">
        <f>IF(AND($K35=$T$7,$C35&lt;'1331'!$I$9),"x","")</f>
        <v/>
      </c>
      <c r="V35" s="103" t="str">
        <f>IF(AND($L35=$T$7,$C35&lt;'1331'!$I$9),"x","")</f>
        <v/>
      </c>
      <c r="W35" s="103" t="str">
        <f>IF(AND('3411-CT'!$E$9=TH!I35,OR(TH!K35=TH!$W$7,L35=TH!$W$7)),"x","")</f>
        <v/>
      </c>
      <c r="X35" s="103" t="str">
        <f>IF(OR(TH!K35=TH!$X$7,L35=TH!$X$7),"x","")</f>
        <v/>
      </c>
    </row>
    <row r="36" spans="1:24" s="88" customFormat="1">
      <c r="A36" s="178" t="str">
        <f>IF(E36&lt;&gt;"",IF(AND(B36='IN - TC'!$Q$4,OR(TH!K36="1111",TH!L36="1111")),TH!E36,""),"")</f>
        <v/>
      </c>
      <c r="B36" s="73">
        <f t="shared" si="6"/>
        <v>2014</v>
      </c>
      <c r="C36" s="73">
        <f t="shared" si="7"/>
        <v>1</v>
      </c>
      <c r="D36" s="74">
        <v>41660</v>
      </c>
      <c r="E36" s="74" t="s">
        <v>8</v>
      </c>
      <c r="F36" s="74">
        <v>41660</v>
      </c>
      <c r="G36" s="77" t="s">
        <v>22</v>
      </c>
      <c r="H36" s="180"/>
      <c r="I36" s="91"/>
      <c r="J36" s="75">
        <v>2000</v>
      </c>
      <c r="K36" s="76" t="s">
        <v>10</v>
      </c>
      <c r="L36" s="76" t="s">
        <v>34</v>
      </c>
      <c r="M36" s="103" t="str">
        <f>IF(AND('331-CT'!$E$7=TH!I36,OR(K36="331",L36="331")),"x","")</f>
        <v/>
      </c>
      <c r="N36" s="103" t="str">
        <f>IF(AND($C36&gt;='1111'!$N$10,$C36&lt;='1111'!$O$10,OR($K36=$N$7,$L36=$N$7)),"x","")</f>
        <v/>
      </c>
      <c r="O36" s="103" t="str">
        <f>IF(AND($K36=$N$7,$C36&lt;'1111'!$N$10),"x","")</f>
        <v/>
      </c>
      <c r="P36" s="103" t="str">
        <f>IF(AND($L36=$N$7,$C36&lt;'1111'!$N$10),"x","")</f>
        <v/>
      </c>
      <c r="Q36" s="103" t="str">
        <f>IF(AND($C36&gt;='1121'!$N$9,$C36&lt;='1121'!$O$9,OR($K36=$Q$7,$L36=$Q$7)),"x","")</f>
        <v/>
      </c>
      <c r="R36" s="103" t="str">
        <f>IF(AND($K36=$Q$7,$C36&lt;'1121'!$N$9),"x","")</f>
        <v/>
      </c>
      <c r="S36" s="103" t="str">
        <f>IF(AND($L36=$Q$7,$C36&lt;'1121'!$N$9),"x","")</f>
        <v>x</v>
      </c>
      <c r="T36" s="103" t="str">
        <f>IF(AND($C36&gt;='1331'!$I$9,$C36&lt;='1331'!$J$9,OR($K36=$T$7,$L36=$T$7)),"x","")</f>
        <v/>
      </c>
      <c r="U36" s="103" t="str">
        <f>IF(AND($K36=$T$7,$C36&lt;'1331'!$I$9),"x","")</f>
        <v>x</v>
      </c>
      <c r="V36" s="103" t="str">
        <f>IF(AND($L36=$T$7,$C36&lt;'1331'!$I$9),"x","")</f>
        <v/>
      </c>
      <c r="W36" s="103" t="str">
        <f>IF(AND('3411-CT'!$E$9=TH!I36,OR(TH!K36=TH!$W$7,L36=TH!$W$7)),"x","")</f>
        <v/>
      </c>
      <c r="X36" s="103" t="str">
        <f>IF(OR(TH!K36=TH!$X$7,L36=TH!$X$7),"x","")</f>
        <v/>
      </c>
    </row>
    <row r="37" spans="1:24" s="88" customFormat="1">
      <c r="A37" s="178" t="str">
        <f>IF(E37&lt;&gt;"",IF(AND(B37='IN - TC'!$Q$4,OR(TH!K37="1111",TH!L37="1111")),TH!E37,""),"")</f>
        <v>C04</v>
      </c>
      <c r="B37" s="73">
        <f t="shared" si="6"/>
        <v>2014</v>
      </c>
      <c r="C37" s="73">
        <f t="shared" si="7"/>
        <v>1</v>
      </c>
      <c r="D37" s="86">
        <v>41664</v>
      </c>
      <c r="E37" s="74" t="s">
        <v>44</v>
      </c>
      <c r="F37" s="74">
        <v>41664</v>
      </c>
      <c r="G37" s="77" t="s">
        <v>222</v>
      </c>
      <c r="H37" s="180"/>
      <c r="I37" s="91" t="s">
        <v>352</v>
      </c>
      <c r="J37" s="75">
        <v>64000000</v>
      </c>
      <c r="K37" s="79" t="s">
        <v>34</v>
      </c>
      <c r="L37" s="76" t="s">
        <v>120</v>
      </c>
      <c r="M37" s="103" t="str">
        <f>IF(AND('331-CT'!$E$7=TH!I37,OR(K37="331",L37="331")),"x","")</f>
        <v/>
      </c>
      <c r="N37" s="103" t="str">
        <f>IF(AND($C37&gt;='1111'!$N$10,$C37&lt;='1111'!$O$10,OR($K37=$N$7,$L37=$N$7)),"x","")</f>
        <v/>
      </c>
      <c r="O37" s="103" t="str">
        <f>IF(AND($K37=$N$7,$C37&lt;'1111'!$N$10),"x","")</f>
        <v/>
      </c>
      <c r="P37" s="103" t="str">
        <f>IF(AND($L37=$N$7,$C37&lt;'1111'!$N$10),"x","")</f>
        <v>x</v>
      </c>
      <c r="Q37" s="103" t="str">
        <f>IF(AND($C37&gt;='1121'!$N$9,$C37&lt;='1121'!$O$9,OR($K37=$Q$7,$L37=$Q$7)),"x","")</f>
        <v/>
      </c>
      <c r="R37" s="103" t="str">
        <f>IF(AND($K37=$Q$7,$C37&lt;'1121'!$N$9),"x","")</f>
        <v>x</v>
      </c>
      <c r="S37" s="103" t="str">
        <f>IF(AND($L37=$Q$7,$C37&lt;'1121'!$N$9),"x","")</f>
        <v/>
      </c>
      <c r="T37" s="103" t="str">
        <f>IF(AND($C37&gt;='1331'!$I$9,$C37&lt;='1331'!$J$9,OR($K37=$T$7,$L37=$T$7)),"x","")</f>
        <v/>
      </c>
      <c r="U37" s="103" t="str">
        <f>IF(AND($K37=$T$7,$C37&lt;'1331'!$I$9),"x","")</f>
        <v/>
      </c>
      <c r="V37" s="103" t="str">
        <f>IF(AND($L37=$T$7,$C37&lt;'1331'!$I$9),"x","")</f>
        <v/>
      </c>
      <c r="W37" s="103" t="str">
        <f>IF(AND('3411-CT'!$E$9=TH!I37,OR(TH!K37=TH!$W$7,L37=TH!$W$7)),"x","")</f>
        <v/>
      </c>
      <c r="X37" s="103" t="str">
        <f>IF(OR(TH!K37=TH!$X$7,L37=TH!$X$7),"x","")</f>
        <v/>
      </c>
    </row>
    <row r="38" spans="1:24" s="88" customFormat="1">
      <c r="A38" s="178" t="str">
        <f>IF(E38&lt;&gt;"",IF(AND(B38='IN - TC'!$Q$4,OR(TH!K38="1111",TH!L38="1111")),TH!E38,""),"")</f>
        <v/>
      </c>
      <c r="B38" s="73">
        <f t="shared" si="6"/>
        <v>2014</v>
      </c>
      <c r="C38" s="73">
        <f t="shared" si="7"/>
        <v>1</v>
      </c>
      <c r="D38" s="74">
        <v>41664</v>
      </c>
      <c r="E38" s="74" t="s">
        <v>8</v>
      </c>
      <c r="F38" s="74">
        <v>41664</v>
      </c>
      <c r="G38" s="77" t="s">
        <v>353</v>
      </c>
      <c r="H38" s="180"/>
      <c r="I38" s="91" t="s">
        <v>57</v>
      </c>
      <c r="J38" s="75">
        <v>43824000</v>
      </c>
      <c r="K38" s="76" t="s">
        <v>9</v>
      </c>
      <c r="L38" s="76" t="s">
        <v>34</v>
      </c>
      <c r="M38" s="103" t="str">
        <f>IF(AND('331-CT'!$E$7=TH!I38,OR(K38="331",L38="331")),"x","")</f>
        <v/>
      </c>
      <c r="N38" s="103" t="str">
        <f>IF(AND($C38&gt;='1111'!$N$10,$C38&lt;='1111'!$O$10,OR($K38=$N$7,$L38=$N$7)),"x","")</f>
        <v/>
      </c>
      <c r="O38" s="103" t="str">
        <f>IF(AND($K38=$N$7,$C38&lt;'1111'!$N$10),"x","")</f>
        <v/>
      </c>
      <c r="P38" s="103" t="str">
        <f>IF(AND($L38=$N$7,$C38&lt;'1111'!$N$10),"x","")</f>
        <v/>
      </c>
      <c r="Q38" s="103" t="str">
        <f>IF(AND($C38&gt;='1121'!$N$9,$C38&lt;='1121'!$O$9,OR($K38=$Q$7,$L38=$Q$7)),"x","")</f>
        <v/>
      </c>
      <c r="R38" s="103" t="str">
        <f>IF(AND($K38=$Q$7,$C38&lt;'1121'!$N$9),"x","")</f>
        <v/>
      </c>
      <c r="S38" s="103" t="str">
        <f>IF(AND($L38=$Q$7,$C38&lt;'1121'!$N$9),"x","")</f>
        <v>x</v>
      </c>
      <c r="T38" s="103" t="str">
        <f>IF(AND($C38&gt;='1331'!$I$9,$C38&lt;='1331'!$J$9,OR($K38=$T$7,$L38=$T$7)),"x","")</f>
        <v/>
      </c>
      <c r="U38" s="103" t="str">
        <f>IF(AND($K38=$T$7,$C38&lt;'1331'!$I$9),"x","")</f>
        <v/>
      </c>
      <c r="V38" s="103" t="str">
        <f>IF(AND($L38=$T$7,$C38&lt;'1331'!$I$9),"x","")</f>
        <v/>
      </c>
      <c r="W38" s="103" t="str">
        <f>IF(AND('3411-CT'!$E$9=TH!I38,OR(TH!K38=TH!$W$7,L38=TH!$W$7)),"x","")</f>
        <v/>
      </c>
      <c r="X38" s="103" t="str">
        <f>IF(OR(TH!K38=TH!$X$7,L38=TH!$X$7),"x","")</f>
        <v/>
      </c>
    </row>
    <row r="39" spans="1:24" s="88" customFormat="1">
      <c r="A39" s="178" t="str">
        <f>IF(E39&lt;&gt;"",IF(AND(B39='IN - TC'!$Q$4,OR(TH!K39="1111",TH!L39="1111")),TH!E39,""),"")</f>
        <v/>
      </c>
      <c r="B39" s="73">
        <f t="shared" si="6"/>
        <v>2014</v>
      </c>
      <c r="C39" s="73">
        <f t="shared" si="7"/>
        <v>1</v>
      </c>
      <c r="D39" s="74">
        <v>41664</v>
      </c>
      <c r="E39" s="74" t="s">
        <v>8</v>
      </c>
      <c r="F39" s="74">
        <v>41664</v>
      </c>
      <c r="G39" s="77" t="s">
        <v>21</v>
      </c>
      <c r="H39" s="180"/>
      <c r="I39" s="91"/>
      <c r="J39" s="75">
        <v>30000</v>
      </c>
      <c r="K39" s="76" t="s">
        <v>159</v>
      </c>
      <c r="L39" s="76" t="s">
        <v>34</v>
      </c>
      <c r="M39" s="103" t="str">
        <f>IF(AND('331-CT'!$E$7=TH!I39,OR(K39="331",L39="331")),"x","")</f>
        <v/>
      </c>
      <c r="N39" s="103" t="str">
        <f>IF(AND($C39&gt;='1111'!$N$10,$C39&lt;='1111'!$O$10,OR($K39=$N$7,$L39=$N$7)),"x","")</f>
        <v/>
      </c>
      <c r="O39" s="103" t="str">
        <f>IF(AND($K39=$N$7,$C39&lt;'1111'!$N$10),"x","")</f>
        <v/>
      </c>
      <c r="P39" s="103" t="str">
        <f>IF(AND($L39=$N$7,$C39&lt;'1111'!$N$10),"x","")</f>
        <v/>
      </c>
      <c r="Q39" s="103" t="str">
        <f>IF(AND($C39&gt;='1121'!$N$9,$C39&lt;='1121'!$O$9,OR($K39=$Q$7,$L39=$Q$7)),"x","")</f>
        <v/>
      </c>
      <c r="R39" s="103" t="str">
        <f>IF(AND($K39=$Q$7,$C39&lt;'1121'!$N$9),"x","")</f>
        <v/>
      </c>
      <c r="S39" s="103" t="str">
        <f>IF(AND($L39=$Q$7,$C39&lt;'1121'!$N$9),"x","")</f>
        <v>x</v>
      </c>
      <c r="T39" s="103" t="str">
        <f>IF(AND($C39&gt;='1331'!$I$9,$C39&lt;='1331'!$J$9,OR($K39=$T$7,$L39=$T$7)),"x","")</f>
        <v/>
      </c>
      <c r="U39" s="103" t="str">
        <f>IF(AND($K39=$T$7,$C39&lt;'1331'!$I$9),"x","")</f>
        <v/>
      </c>
      <c r="V39" s="103" t="str">
        <f>IF(AND($L39=$T$7,$C39&lt;'1331'!$I$9),"x","")</f>
        <v/>
      </c>
      <c r="W39" s="103" t="str">
        <f>IF(AND('3411-CT'!$E$9=TH!I39,OR(TH!K39=TH!$W$7,L39=TH!$W$7)),"x","")</f>
        <v/>
      </c>
      <c r="X39" s="103" t="str">
        <f>IF(OR(TH!K39=TH!$X$7,L39=TH!$X$7),"x","")</f>
        <v/>
      </c>
    </row>
    <row r="40" spans="1:24" s="88" customFormat="1">
      <c r="A40" s="178" t="str">
        <f>IF(E40&lt;&gt;"",IF(AND(B40='IN - TC'!$Q$4,OR(TH!K40="1111",TH!L40="1111")),TH!E40,""),"")</f>
        <v/>
      </c>
      <c r="B40" s="73">
        <f t="shared" si="4"/>
        <v>2014</v>
      </c>
      <c r="C40" s="73">
        <f t="shared" si="5"/>
        <v>1</v>
      </c>
      <c r="D40" s="86">
        <v>41664</v>
      </c>
      <c r="E40" s="74" t="s">
        <v>8</v>
      </c>
      <c r="F40" s="74">
        <v>41664</v>
      </c>
      <c r="G40" s="77" t="s">
        <v>22</v>
      </c>
      <c r="H40" s="180"/>
      <c r="I40" s="91"/>
      <c r="J40" s="75">
        <v>3000</v>
      </c>
      <c r="K40" s="79" t="s">
        <v>10</v>
      </c>
      <c r="L40" s="76" t="s">
        <v>34</v>
      </c>
      <c r="M40" s="103" t="str">
        <f>IF(AND('331-CT'!$E$7=TH!I40,OR(K40="331",L40="331")),"x","")</f>
        <v/>
      </c>
      <c r="N40" s="103" t="str">
        <f>IF(AND($C40&gt;='1111'!$N$10,$C40&lt;='1111'!$O$10,OR($K40=$N$7,$L40=$N$7)),"x","")</f>
        <v/>
      </c>
      <c r="O40" s="103" t="str">
        <f>IF(AND($K40=$N$7,$C40&lt;'1111'!$N$10),"x","")</f>
        <v/>
      </c>
      <c r="P40" s="103" t="str">
        <f>IF(AND($L40=$N$7,$C40&lt;'1111'!$N$10),"x","")</f>
        <v/>
      </c>
      <c r="Q40" s="103" t="str">
        <f>IF(AND($C40&gt;='1121'!$N$9,$C40&lt;='1121'!$O$9,OR($K40=$Q$7,$L40=$Q$7)),"x","")</f>
        <v/>
      </c>
      <c r="R40" s="103" t="str">
        <f>IF(AND($K40=$Q$7,$C40&lt;'1121'!$N$9),"x","")</f>
        <v/>
      </c>
      <c r="S40" s="103" t="str">
        <f>IF(AND($L40=$Q$7,$C40&lt;'1121'!$N$9),"x","")</f>
        <v>x</v>
      </c>
      <c r="T40" s="103" t="str">
        <f>IF(AND($C40&gt;='1331'!$I$9,$C40&lt;='1331'!$J$9,OR($K40=$T$7,$L40=$T$7)),"x","")</f>
        <v/>
      </c>
      <c r="U40" s="103" t="str">
        <f>IF(AND($K40=$T$7,$C40&lt;'1331'!$I$9),"x","")</f>
        <v>x</v>
      </c>
      <c r="V40" s="103" t="str">
        <f>IF(AND($L40=$T$7,$C40&lt;'1331'!$I$9),"x","")</f>
        <v/>
      </c>
      <c r="W40" s="103" t="str">
        <f>IF(AND('3411-CT'!$E$9=TH!I40,OR(TH!K40=TH!$W$7,L40=TH!$W$7)),"x","")</f>
        <v/>
      </c>
      <c r="X40" s="103" t="str">
        <f>IF(OR(TH!K40=TH!$X$7,L40=TH!$X$7),"x","")</f>
        <v/>
      </c>
    </row>
    <row r="41" spans="1:24" s="88" customFormat="1">
      <c r="A41" s="178" t="str">
        <f>IF(E41&lt;&gt;"",IF(AND(B41='IN - TC'!$Q$4,OR(TH!K41="1111",TH!L41="1111")),TH!E41,""),"")</f>
        <v/>
      </c>
      <c r="B41" s="73">
        <f t="shared" si="4"/>
        <v>2014</v>
      </c>
      <c r="C41" s="73">
        <f t="shared" si="5"/>
        <v>1</v>
      </c>
      <c r="D41" s="74">
        <v>41664</v>
      </c>
      <c r="E41" s="74" t="s">
        <v>8</v>
      </c>
      <c r="F41" s="74">
        <v>41664</v>
      </c>
      <c r="G41" s="77" t="s">
        <v>354</v>
      </c>
      <c r="H41" s="180"/>
      <c r="I41" s="91" t="s">
        <v>59</v>
      </c>
      <c r="J41" s="75">
        <v>20000000</v>
      </c>
      <c r="K41" s="76" t="s">
        <v>9</v>
      </c>
      <c r="L41" s="76" t="s">
        <v>34</v>
      </c>
      <c r="M41" s="103" t="str">
        <f>IF(AND('331-CT'!$E$7=TH!I41,OR(K41="331",L41="331")),"x","")</f>
        <v/>
      </c>
      <c r="N41" s="103" t="str">
        <f>IF(AND($C41&gt;='1111'!$N$10,$C41&lt;='1111'!$O$10,OR($K41=$N$7,$L41=$N$7)),"x","")</f>
        <v/>
      </c>
      <c r="O41" s="103" t="str">
        <f>IF(AND($K41=$N$7,$C41&lt;'1111'!$N$10),"x","")</f>
        <v/>
      </c>
      <c r="P41" s="103" t="str">
        <f>IF(AND($L41=$N$7,$C41&lt;'1111'!$N$10),"x","")</f>
        <v/>
      </c>
      <c r="Q41" s="103" t="str">
        <f>IF(AND($C41&gt;='1121'!$N$9,$C41&lt;='1121'!$O$9,OR($K41=$Q$7,$L41=$Q$7)),"x","")</f>
        <v/>
      </c>
      <c r="R41" s="103" t="str">
        <f>IF(AND($K41=$Q$7,$C41&lt;'1121'!$N$9),"x","")</f>
        <v/>
      </c>
      <c r="S41" s="103" t="str">
        <f>IF(AND($L41=$Q$7,$C41&lt;'1121'!$N$9),"x","")</f>
        <v>x</v>
      </c>
      <c r="T41" s="103" t="str">
        <f>IF(AND($C41&gt;='1331'!$I$9,$C41&lt;='1331'!$J$9,OR($K41=$T$7,$L41=$T$7)),"x","")</f>
        <v/>
      </c>
      <c r="U41" s="103" t="str">
        <f>IF(AND($K41=$T$7,$C41&lt;'1331'!$I$9),"x","")</f>
        <v/>
      </c>
      <c r="V41" s="103" t="str">
        <f>IF(AND($L41=$T$7,$C41&lt;'1331'!$I$9),"x","")</f>
        <v/>
      </c>
      <c r="W41" s="103" t="str">
        <f>IF(AND('3411-CT'!$E$9=TH!I41,OR(TH!K41=TH!$W$7,L41=TH!$W$7)),"x","")</f>
        <v/>
      </c>
      <c r="X41" s="103" t="str">
        <f>IF(OR(TH!K41=TH!$X$7,L41=TH!$X$7),"x","")</f>
        <v/>
      </c>
    </row>
    <row r="42" spans="1:24" s="88" customFormat="1">
      <c r="A42" s="178" t="str">
        <f>IF(E42&lt;&gt;"",IF(AND(B42='IN - TC'!$Q$4,OR(TH!K42="1111",TH!L42="1111")),TH!E42,""),"")</f>
        <v/>
      </c>
      <c r="B42" s="73">
        <f t="shared" si="4"/>
        <v>2014</v>
      </c>
      <c r="C42" s="73">
        <f t="shared" si="5"/>
        <v>1</v>
      </c>
      <c r="D42" s="74">
        <v>41664</v>
      </c>
      <c r="E42" s="74" t="s">
        <v>8</v>
      </c>
      <c r="F42" s="74">
        <v>41664</v>
      </c>
      <c r="G42" s="77" t="s">
        <v>21</v>
      </c>
      <c r="H42" s="180"/>
      <c r="I42" s="91"/>
      <c r="J42" s="75">
        <v>22804</v>
      </c>
      <c r="K42" s="76" t="s">
        <v>159</v>
      </c>
      <c r="L42" s="76" t="s">
        <v>34</v>
      </c>
      <c r="M42" s="103" t="str">
        <f>IF(AND('331-CT'!$E$7=TH!I42,OR(K42="331",L42="331")),"x","")</f>
        <v/>
      </c>
      <c r="N42" s="103" t="str">
        <f>IF(AND($C42&gt;='1111'!$N$10,$C42&lt;='1111'!$O$10,OR($K42=$N$7,$L42=$N$7)),"x","")</f>
        <v/>
      </c>
      <c r="O42" s="103" t="str">
        <f>IF(AND($K42=$N$7,$C42&lt;'1111'!$N$10),"x","")</f>
        <v/>
      </c>
      <c r="P42" s="103" t="str">
        <f>IF(AND($L42=$N$7,$C42&lt;'1111'!$N$10),"x","")</f>
        <v/>
      </c>
      <c r="Q42" s="103" t="str">
        <f>IF(AND($C42&gt;='1121'!$N$9,$C42&lt;='1121'!$O$9,OR($K42=$Q$7,$L42=$Q$7)),"x","")</f>
        <v/>
      </c>
      <c r="R42" s="103" t="str">
        <f>IF(AND($K42=$Q$7,$C42&lt;'1121'!$N$9),"x","")</f>
        <v/>
      </c>
      <c r="S42" s="103" t="str">
        <f>IF(AND($L42=$Q$7,$C42&lt;'1121'!$N$9),"x","")</f>
        <v>x</v>
      </c>
      <c r="T42" s="103" t="str">
        <f>IF(AND($C42&gt;='1331'!$I$9,$C42&lt;='1331'!$J$9,OR($K42=$T$7,$L42=$T$7)),"x","")</f>
        <v/>
      </c>
      <c r="U42" s="103" t="str">
        <f>IF(AND($K42=$T$7,$C42&lt;'1331'!$I$9),"x","")</f>
        <v/>
      </c>
      <c r="V42" s="103" t="str">
        <f>IF(AND($L42=$T$7,$C42&lt;'1331'!$I$9),"x","")</f>
        <v/>
      </c>
      <c r="W42" s="103" t="str">
        <f>IF(AND('3411-CT'!$E$9=TH!I42,OR(TH!K42=TH!$W$7,L42=TH!$W$7)),"x","")</f>
        <v/>
      </c>
      <c r="X42" s="103" t="str">
        <f>IF(OR(TH!K42=TH!$X$7,L42=TH!$X$7),"x","")</f>
        <v/>
      </c>
    </row>
    <row r="43" spans="1:24" s="88" customFormat="1">
      <c r="A43" s="178" t="str">
        <f>IF(E43&lt;&gt;"",IF(AND(B43='IN - TC'!$Q$4,OR(TH!K43="1111",TH!L43="1111")),TH!E43,""),"")</f>
        <v/>
      </c>
      <c r="B43" s="73">
        <f t="shared" si="4"/>
        <v>2014</v>
      </c>
      <c r="C43" s="73">
        <f t="shared" si="5"/>
        <v>1</v>
      </c>
      <c r="D43" s="86">
        <v>41664</v>
      </c>
      <c r="E43" s="74" t="s">
        <v>8</v>
      </c>
      <c r="F43" s="74">
        <v>41664</v>
      </c>
      <c r="G43" s="77" t="s">
        <v>22</v>
      </c>
      <c r="H43" s="180"/>
      <c r="I43" s="91"/>
      <c r="J43" s="75">
        <v>2280</v>
      </c>
      <c r="K43" s="76" t="s">
        <v>10</v>
      </c>
      <c r="L43" s="76" t="s">
        <v>34</v>
      </c>
      <c r="M43" s="103" t="str">
        <f>IF(AND('331-CT'!$E$7=TH!I43,OR(K43="331",L43="331")),"x","")</f>
        <v/>
      </c>
      <c r="N43" s="103" t="str">
        <f>IF(AND($C43&gt;='1111'!$N$10,$C43&lt;='1111'!$O$10,OR($K43=$N$7,$L43=$N$7)),"x","")</f>
        <v/>
      </c>
      <c r="O43" s="103" t="str">
        <f>IF(AND($K43=$N$7,$C43&lt;'1111'!$N$10),"x","")</f>
        <v/>
      </c>
      <c r="P43" s="103" t="str">
        <f>IF(AND($L43=$N$7,$C43&lt;'1111'!$N$10),"x","")</f>
        <v/>
      </c>
      <c r="Q43" s="103" t="str">
        <f>IF(AND($C43&gt;='1121'!$N$9,$C43&lt;='1121'!$O$9,OR($K43=$Q$7,$L43=$Q$7)),"x","")</f>
        <v/>
      </c>
      <c r="R43" s="103" t="str">
        <f>IF(AND($K43=$Q$7,$C43&lt;'1121'!$N$9),"x","")</f>
        <v/>
      </c>
      <c r="S43" s="103" t="str">
        <f>IF(AND($L43=$Q$7,$C43&lt;'1121'!$N$9),"x","")</f>
        <v>x</v>
      </c>
      <c r="T43" s="103" t="str">
        <f>IF(AND($C43&gt;='1331'!$I$9,$C43&lt;='1331'!$J$9,OR($K43=$T$7,$L43=$T$7)),"x","")</f>
        <v/>
      </c>
      <c r="U43" s="103" t="str">
        <f>IF(AND($K43=$T$7,$C43&lt;'1331'!$I$9),"x","")</f>
        <v>x</v>
      </c>
      <c r="V43" s="103" t="str">
        <f>IF(AND($L43=$T$7,$C43&lt;'1331'!$I$9),"x","")</f>
        <v/>
      </c>
      <c r="W43" s="103" t="str">
        <f>IF(AND('3411-CT'!$E$9=TH!I43,OR(TH!K43=TH!$W$7,L43=TH!$W$7)),"x","")</f>
        <v/>
      </c>
      <c r="X43" s="103" t="str">
        <f>IF(OR(TH!K43=TH!$X$7,L43=TH!$X$7),"x","")</f>
        <v/>
      </c>
    </row>
    <row r="44" spans="1:24" s="88" customFormat="1">
      <c r="A44" s="178" t="str">
        <f>IF(E44&lt;&gt;"",IF(AND(B44='IN - TC'!$Q$4,OR(TH!K44="1111",TH!L44="1111")),TH!E44,""),"")</f>
        <v>C05</v>
      </c>
      <c r="B44" s="73">
        <f t="shared" si="4"/>
        <v>2014</v>
      </c>
      <c r="C44" s="73">
        <f t="shared" si="5"/>
        <v>3</v>
      </c>
      <c r="D44" s="74">
        <v>41699</v>
      </c>
      <c r="E44" s="74" t="s">
        <v>43</v>
      </c>
      <c r="F44" s="74">
        <v>41699</v>
      </c>
      <c r="G44" s="80" t="s">
        <v>222</v>
      </c>
      <c r="H44" s="180"/>
      <c r="I44" s="90" t="s">
        <v>355</v>
      </c>
      <c r="J44" s="75">
        <v>76500000</v>
      </c>
      <c r="K44" s="76" t="s">
        <v>34</v>
      </c>
      <c r="L44" s="76" t="s">
        <v>120</v>
      </c>
      <c r="M44" s="103" t="str">
        <f>IF(AND('331-CT'!$E$7=TH!I44,OR(K44="331",L44="331")),"x","")</f>
        <v/>
      </c>
      <c r="N44" s="103" t="str">
        <f>IF(AND($C44&gt;='1111'!$N$10,$C44&lt;='1111'!$O$10,OR($K44=$N$7,$L44=$N$7)),"x","")</f>
        <v/>
      </c>
      <c r="O44" s="103" t="str">
        <f>IF(AND($K44=$N$7,$C44&lt;'1111'!$N$10),"x","")</f>
        <v/>
      </c>
      <c r="P44" s="103" t="str">
        <f>IF(AND($L44=$N$7,$C44&lt;'1111'!$N$10),"x","")</f>
        <v>x</v>
      </c>
      <c r="Q44" s="103" t="str">
        <f>IF(AND($C44&gt;='1121'!$N$9,$C44&lt;='1121'!$O$9,OR($K44=$Q$7,$L44=$Q$7)),"x","")</f>
        <v/>
      </c>
      <c r="R44" s="103" t="str">
        <f>IF(AND($K44=$Q$7,$C44&lt;'1121'!$N$9),"x","")</f>
        <v>x</v>
      </c>
      <c r="S44" s="103" t="str">
        <f>IF(AND($L44=$Q$7,$C44&lt;'1121'!$N$9),"x","")</f>
        <v/>
      </c>
      <c r="T44" s="103" t="str">
        <f>IF(AND($C44&gt;='1331'!$I$9,$C44&lt;='1331'!$J$9,OR($K44=$T$7,$L44=$T$7)),"x","")</f>
        <v/>
      </c>
      <c r="U44" s="103" t="str">
        <f>IF(AND($K44=$T$7,$C44&lt;'1331'!$I$9),"x","")</f>
        <v/>
      </c>
      <c r="V44" s="103" t="str">
        <f>IF(AND($L44=$T$7,$C44&lt;'1331'!$I$9),"x","")</f>
        <v/>
      </c>
      <c r="W44" s="103" t="str">
        <f>IF(AND('3411-CT'!$E$9=TH!I44,OR(TH!K44=TH!$W$7,L44=TH!$W$7)),"x","")</f>
        <v/>
      </c>
      <c r="X44" s="103" t="str">
        <f>IF(OR(TH!K44=TH!$X$7,L44=TH!$X$7),"x","")</f>
        <v/>
      </c>
    </row>
    <row r="45" spans="1:24" s="88" customFormat="1">
      <c r="A45" s="178" t="str">
        <f>IF(E45&lt;&gt;"",IF(AND(B45='IN - TC'!$Q$4,OR(TH!K45="1111",TH!L45="1111")),TH!E45,""),"")</f>
        <v/>
      </c>
      <c r="B45" s="73">
        <f t="shared" si="4"/>
        <v>2014</v>
      </c>
      <c r="C45" s="73">
        <f t="shared" si="5"/>
        <v>3</v>
      </c>
      <c r="D45" s="86">
        <v>41699</v>
      </c>
      <c r="E45" s="74" t="s">
        <v>8</v>
      </c>
      <c r="F45" s="74">
        <v>41699</v>
      </c>
      <c r="G45" s="77" t="s">
        <v>353</v>
      </c>
      <c r="H45" s="180"/>
      <c r="I45" s="90" t="s">
        <v>57</v>
      </c>
      <c r="J45" s="75">
        <v>76462320</v>
      </c>
      <c r="K45" s="76" t="s">
        <v>9</v>
      </c>
      <c r="L45" s="76" t="s">
        <v>34</v>
      </c>
      <c r="M45" s="103" t="str">
        <f>IF(AND('331-CT'!$E$7=TH!I45,OR(K45="331",L45="331")),"x","")</f>
        <v/>
      </c>
      <c r="N45" s="103" t="str">
        <f>IF(AND($C45&gt;='1111'!$N$10,$C45&lt;='1111'!$O$10,OR($K45=$N$7,$L45=$N$7)),"x","")</f>
        <v/>
      </c>
      <c r="O45" s="103" t="str">
        <f>IF(AND($K45=$N$7,$C45&lt;'1111'!$N$10),"x","")</f>
        <v/>
      </c>
      <c r="P45" s="103" t="str">
        <f>IF(AND($L45=$N$7,$C45&lt;'1111'!$N$10),"x","")</f>
        <v/>
      </c>
      <c r="Q45" s="103" t="str">
        <f>IF(AND($C45&gt;='1121'!$N$9,$C45&lt;='1121'!$O$9,OR($K45=$Q$7,$L45=$Q$7)),"x","")</f>
        <v/>
      </c>
      <c r="R45" s="103" t="str">
        <f>IF(AND($K45=$Q$7,$C45&lt;'1121'!$N$9),"x","")</f>
        <v/>
      </c>
      <c r="S45" s="103" t="str">
        <f>IF(AND($L45=$Q$7,$C45&lt;'1121'!$N$9),"x","")</f>
        <v>x</v>
      </c>
      <c r="T45" s="103" t="str">
        <f>IF(AND($C45&gt;='1331'!$I$9,$C45&lt;='1331'!$J$9,OR($K45=$T$7,$L45=$T$7)),"x","")</f>
        <v/>
      </c>
      <c r="U45" s="103" t="str">
        <f>IF(AND($K45=$T$7,$C45&lt;'1331'!$I$9),"x","")</f>
        <v/>
      </c>
      <c r="V45" s="103" t="str">
        <f>IF(AND($L45=$T$7,$C45&lt;'1331'!$I$9),"x","")</f>
        <v/>
      </c>
      <c r="W45" s="103" t="str">
        <f>IF(AND('3411-CT'!$E$9=TH!I45,OR(TH!K45=TH!$W$7,L45=TH!$W$7)),"x","")</f>
        <v/>
      </c>
      <c r="X45" s="103" t="str">
        <f>IF(OR(TH!K45=TH!$X$7,L45=TH!$X$7),"x","")</f>
        <v/>
      </c>
    </row>
    <row r="46" spans="1:24" s="88" customFormat="1">
      <c r="A46" s="178" t="str">
        <f>IF(E46&lt;&gt;"",IF(AND(B46='IN - TC'!$Q$4,OR(TH!K46="1111",TH!L46="1111")),TH!E46,""),"")</f>
        <v/>
      </c>
      <c r="B46" s="73">
        <f t="shared" si="4"/>
        <v>2014</v>
      </c>
      <c r="C46" s="73">
        <f t="shared" si="5"/>
        <v>3</v>
      </c>
      <c r="D46" s="74">
        <v>41699</v>
      </c>
      <c r="E46" s="74" t="s">
        <v>8</v>
      </c>
      <c r="F46" s="74">
        <v>41699</v>
      </c>
      <c r="G46" s="77" t="s">
        <v>21</v>
      </c>
      <c r="H46" s="180"/>
      <c r="I46" s="91"/>
      <c r="J46" s="75">
        <v>32561</v>
      </c>
      <c r="K46" s="76" t="s">
        <v>159</v>
      </c>
      <c r="L46" s="76" t="s">
        <v>34</v>
      </c>
      <c r="M46" s="103" t="str">
        <f>IF(AND('331-CT'!$E$7=TH!I46,OR(K46="331",L46="331")),"x","")</f>
        <v/>
      </c>
      <c r="N46" s="103" t="str">
        <f>IF(AND($C46&gt;='1111'!$N$10,$C46&lt;='1111'!$O$10,OR($K46=$N$7,$L46=$N$7)),"x","")</f>
        <v/>
      </c>
      <c r="O46" s="103" t="str">
        <f>IF(AND($K46=$N$7,$C46&lt;'1111'!$N$10),"x","")</f>
        <v/>
      </c>
      <c r="P46" s="103" t="str">
        <f>IF(AND($L46=$N$7,$C46&lt;'1111'!$N$10),"x","")</f>
        <v/>
      </c>
      <c r="Q46" s="103" t="str">
        <f>IF(AND($C46&gt;='1121'!$N$9,$C46&lt;='1121'!$O$9,OR($K46=$Q$7,$L46=$Q$7)),"x","")</f>
        <v/>
      </c>
      <c r="R46" s="103" t="str">
        <f>IF(AND($K46=$Q$7,$C46&lt;'1121'!$N$9),"x","")</f>
        <v/>
      </c>
      <c r="S46" s="103" t="str">
        <f>IF(AND($L46=$Q$7,$C46&lt;'1121'!$N$9),"x","")</f>
        <v>x</v>
      </c>
      <c r="T46" s="103" t="str">
        <f>IF(AND($C46&gt;='1331'!$I$9,$C46&lt;='1331'!$J$9,OR($K46=$T$7,$L46=$T$7)),"x","")</f>
        <v/>
      </c>
      <c r="U46" s="103" t="str">
        <f>IF(AND($K46=$T$7,$C46&lt;'1331'!$I$9),"x","")</f>
        <v/>
      </c>
      <c r="V46" s="103" t="str">
        <f>IF(AND($L46=$T$7,$C46&lt;'1331'!$I$9),"x","")</f>
        <v/>
      </c>
      <c r="W46" s="103" t="str">
        <f>IF(AND('3411-CT'!$E$9=TH!I46,OR(TH!K46=TH!$W$7,L46=TH!$W$7)),"x","")</f>
        <v/>
      </c>
      <c r="X46" s="103" t="str">
        <f>IF(OR(TH!K46=TH!$X$7,L46=TH!$X$7),"x","")</f>
        <v/>
      </c>
    </row>
    <row r="47" spans="1:24" s="88" customFormat="1">
      <c r="A47" s="178" t="str">
        <f>IF(E47&lt;&gt;"",IF(AND(B47='IN - TC'!$Q$4,OR(TH!K47="1111",TH!L47="1111")),TH!E47,""),"")</f>
        <v/>
      </c>
      <c r="B47" s="73">
        <f t="shared" si="4"/>
        <v>2014</v>
      </c>
      <c r="C47" s="73">
        <f t="shared" si="5"/>
        <v>3</v>
      </c>
      <c r="D47" s="74">
        <v>41699</v>
      </c>
      <c r="E47" s="74" t="s">
        <v>8</v>
      </c>
      <c r="F47" s="74">
        <v>41699</v>
      </c>
      <c r="G47" s="77" t="s">
        <v>22</v>
      </c>
      <c r="H47" s="180"/>
      <c r="I47" s="91"/>
      <c r="J47" s="75">
        <v>3256</v>
      </c>
      <c r="K47" s="76" t="s">
        <v>10</v>
      </c>
      <c r="L47" s="76" t="s">
        <v>34</v>
      </c>
      <c r="M47" s="103" t="str">
        <f>IF(AND('331-CT'!$E$7=TH!I47,OR(K47="331",L47="331")),"x","")</f>
        <v/>
      </c>
      <c r="N47" s="103" t="str">
        <f>IF(AND($C47&gt;='1111'!$N$10,$C47&lt;='1111'!$O$10,OR($K47=$N$7,$L47=$N$7)),"x","")</f>
        <v/>
      </c>
      <c r="O47" s="103" t="str">
        <f>IF(AND($K47=$N$7,$C47&lt;'1111'!$N$10),"x","")</f>
        <v/>
      </c>
      <c r="P47" s="103" t="str">
        <f>IF(AND($L47=$N$7,$C47&lt;'1111'!$N$10),"x","")</f>
        <v/>
      </c>
      <c r="Q47" s="103" t="str">
        <f>IF(AND($C47&gt;='1121'!$N$9,$C47&lt;='1121'!$O$9,OR($K47=$Q$7,$L47=$Q$7)),"x","")</f>
        <v/>
      </c>
      <c r="R47" s="103" t="str">
        <f>IF(AND($K47=$Q$7,$C47&lt;'1121'!$N$9),"x","")</f>
        <v/>
      </c>
      <c r="S47" s="103" t="str">
        <f>IF(AND($L47=$Q$7,$C47&lt;'1121'!$N$9),"x","")</f>
        <v>x</v>
      </c>
      <c r="T47" s="103" t="str">
        <f>IF(AND($C47&gt;='1331'!$I$9,$C47&lt;='1331'!$J$9,OR($K47=$T$7,$L47=$T$7)),"x","")</f>
        <v/>
      </c>
      <c r="U47" s="103" t="str">
        <f>IF(AND($K47=$T$7,$C47&lt;'1331'!$I$9),"x","")</f>
        <v>x</v>
      </c>
      <c r="V47" s="103" t="str">
        <f>IF(AND($L47=$T$7,$C47&lt;'1331'!$I$9),"x","")</f>
        <v/>
      </c>
      <c r="W47" s="103" t="str">
        <f>IF(AND('3411-CT'!$E$9=TH!I47,OR(TH!K47=TH!$W$7,L47=TH!$W$7)),"x","")</f>
        <v/>
      </c>
      <c r="X47" s="103" t="str">
        <f>IF(OR(TH!K47=TH!$X$7,L47=TH!$X$7),"x","")</f>
        <v/>
      </c>
    </row>
    <row r="48" spans="1:24" s="88" customFormat="1">
      <c r="A48" s="178" t="str">
        <f>IF(E48&lt;&gt;"",IF(AND(B48='IN - TC'!$Q$4,OR(TH!K48="1111",TH!L48="1111")),TH!E48,""),"")</f>
        <v/>
      </c>
      <c r="B48" s="73">
        <f t="shared" si="4"/>
        <v>2014</v>
      </c>
      <c r="C48" s="73">
        <f t="shared" si="5"/>
        <v>3</v>
      </c>
      <c r="D48" s="74">
        <v>41717</v>
      </c>
      <c r="E48" s="74" t="s">
        <v>8</v>
      </c>
      <c r="F48" s="74">
        <v>41717</v>
      </c>
      <c r="G48" s="77" t="s">
        <v>29</v>
      </c>
      <c r="H48" s="180"/>
      <c r="I48" s="91"/>
      <c r="J48" s="75">
        <v>30000</v>
      </c>
      <c r="K48" s="76" t="s">
        <v>159</v>
      </c>
      <c r="L48" s="76" t="s">
        <v>34</v>
      </c>
      <c r="M48" s="103" t="str">
        <f>IF(AND('331-CT'!$E$7=TH!I48,OR(K48="331",L48="331")),"x","")</f>
        <v/>
      </c>
      <c r="N48" s="103" t="str">
        <f>IF(AND($C48&gt;='1111'!$N$10,$C48&lt;='1111'!$O$10,OR($K48=$N$7,$L48=$N$7)),"x","")</f>
        <v/>
      </c>
      <c r="O48" s="103" t="str">
        <f>IF(AND($K48=$N$7,$C48&lt;'1111'!$N$10),"x","")</f>
        <v/>
      </c>
      <c r="P48" s="103" t="str">
        <f>IF(AND($L48=$N$7,$C48&lt;'1111'!$N$10),"x","")</f>
        <v/>
      </c>
      <c r="Q48" s="103" t="str">
        <f>IF(AND($C48&gt;='1121'!$N$9,$C48&lt;='1121'!$O$9,OR($K48=$Q$7,$L48=$Q$7)),"x","")</f>
        <v/>
      </c>
      <c r="R48" s="103" t="str">
        <f>IF(AND($K48=$Q$7,$C48&lt;'1121'!$N$9),"x","")</f>
        <v/>
      </c>
      <c r="S48" s="103" t="str">
        <f>IF(AND($L48=$Q$7,$C48&lt;'1121'!$N$9),"x","")</f>
        <v>x</v>
      </c>
      <c r="T48" s="103" t="str">
        <f>IF(AND($C48&gt;='1331'!$I$9,$C48&lt;='1331'!$J$9,OR($K48=$T$7,$L48=$T$7)),"x","")</f>
        <v/>
      </c>
      <c r="U48" s="103" t="str">
        <f>IF(AND($K48=$T$7,$C48&lt;'1331'!$I$9),"x","")</f>
        <v/>
      </c>
      <c r="V48" s="103" t="str">
        <f>IF(AND($L48=$T$7,$C48&lt;'1331'!$I$9),"x","")</f>
        <v/>
      </c>
      <c r="W48" s="103" t="str">
        <f>IF(AND('3411-CT'!$E$9=TH!I48,OR(TH!K48=TH!$W$7,L48=TH!$W$7)),"x","")</f>
        <v/>
      </c>
      <c r="X48" s="103" t="str">
        <f>IF(OR(TH!K48=TH!$X$7,L48=TH!$X$7),"x","")</f>
        <v/>
      </c>
    </row>
    <row r="49" spans="1:24" s="88" customFormat="1">
      <c r="A49" s="178" t="str">
        <f>IF(E49&lt;&gt;"",IF(AND(B49='IN - TC'!$Q$4,OR(TH!K49="1111",TH!L49="1111")),TH!E49,""),"")</f>
        <v/>
      </c>
      <c r="B49" s="73">
        <f t="shared" si="4"/>
        <v>2014</v>
      </c>
      <c r="C49" s="73">
        <f t="shared" si="5"/>
        <v>3</v>
      </c>
      <c r="D49" s="74">
        <v>41717</v>
      </c>
      <c r="E49" s="74" t="s">
        <v>8</v>
      </c>
      <c r="F49" s="74">
        <v>41717</v>
      </c>
      <c r="G49" s="77" t="s">
        <v>26</v>
      </c>
      <c r="H49" s="180"/>
      <c r="I49" s="91"/>
      <c r="J49" s="75">
        <v>3000</v>
      </c>
      <c r="K49" s="76" t="s">
        <v>10</v>
      </c>
      <c r="L49" s="76" t="s">
        <v>34</v>
      </c>
      <c r="M49" s="103" t="str">
        <f>IF(AND('331-CT'!$E$7=TH!I49,OR(K49="331",L49="331")),"x","")</f>
        <v/>
      </c>
      <c r="N49" s="103" t="str">
        <f>IF(AND($C49&gt;='1111'!$N$10,$C49&lt;='1111'!$O$10,OR($K49=$N$7,$L49=$N$7)),"x","")</f>
        <v/>
      </c>
      <c r="O49" s="103" t="str">
        <f>IF(AND($K49=$N$7,$C49&lt;'1111'!$N$10),"x","")</f>
        <v/>
      </c>
      <c r="P49" s="103" t="str">
        <f>IF(AND($L49=$N$7,$C49&lt;'1111'!$N$10),"x","")</f>
        <v/>
      </c>
      <c r="Q49" s="103" t="str">
        <f>IF(AND($C49&gt;='1121'!$N$9,$C49&lt;='1121'!$O$9,OR($K49=$Q$7,$L49=$Q$7)),"x","")</f>
        <v/>
      </c>
      <c r="R49" s="103" t="str">
        <f>IF(AND($K49=$Q$7,$C49&lt;'1121'!$N$9),"x","")</f>
        <v/>
      </c>
      <c r="S49" s="103" t="str">
        <f>IF(AND($L49=$Q$7,$C49&lt;'1121'!$N$9),"x","")</f>
        <v>x</v>
      </c>
      <c r="T49" s="103" t="str">
        <f>IF(AND($C49&gt;='1331'!$I$9,$C49&lt;='1331'!$J$9,OR($K49=$T$7,$L49=$T$7)),"x","")</f>
        <v/>
      </c>
      <c r="U49" s="103" t="str">
        <f>IF(AND($K49=$T$7,$C49&lt;'1331'!$I$9),"x","")</f>
        <v>x</v>
      </c>
      <c r="V49" s="103" t="str">
        <f>IF(AND($L49=$T$7,$C49&lt;'1331'!$I$9),"x","")</f>
        <v/>
      </c>
      <c r="W49" s="103" t="str">
        <f>IF(AND('3411-CT'!$E$9=TH!I49,OR(TH!K49=TH!$W$7,L49=TH!$W$7)),"x","")</f>
        <v/>
      </c>
      <c r="X49" s="103" t="str">
        <f>IF(OR(TH!K49=TH!$X$7,L49=TH!$X$7),"x","")</f>
        <v/>
      </c>
    </row>
    <row r="50" spans="1:24" s="88" customFormat="1">
      <c r="A50" s="178" t="str">
        <f>IF(E50&lt;&gt;"",IF(AND(B50='IN - TC'!$Q$4,OR(TH!K50="1111",TH!L50="1111")),TH!E50,""),"")</f>
        <v/>
      </c>
      <c r="B50" s="73">
        <f t="shared" si="4"/>
        <v>2014</v>
      </c>
      <c r="C50" s="73">
        <f t="shared" si="5"/>
        <v>3</v>
      </c>
      <c r="D50" s="74">
        <v>41717</v>
      </c>
      <c r="E50" s="74" t="s">
        <v>8</v>
      </c>
      <c r="F50" s="74">
        <v>41717</v>
      </c>
      <c r="G50" s="77" t="s">
        <v>346</v>
      </c>
      <c r="H50" s="180"/>
      <c r="I50" s="91"/>
      <c r="J50" s="75">
        <v>30000</v>
      </c>
      <c r="K50" s="76" t="s">
        <v>159</v>
      </c>
      <c r="L50" s="76" t="s">
        <v>34</v>
      </c>
      <c r="M50" s="103" t="str">
        <f>IF(AND('331-CT'!$E$7=TH!I50,OR(K50="331",L50="331")),"x","")</f>
        <v/>
      </c>
      <c r="N50" s="103" t="str">
        <f>IF(AND($C50&gt;='1111'!$N$10,$C50&lt;='1111'!$O$10,OR($K50=$N$7,$L50=$N$7)),"x","")</f>
        <v/>
      </c>
      <c r="O50" s="103" t="str">
        <f>IF(AND($K50=$N$7,$C50&lt;'1111'!$N$10),"x","")</f>
        <v/>
      </c>
      <c r="P50" s="103" t="str">
        <f>IF(AND($L50=$N$7,$C50&lt;'1111'!$N$10),"x","")</f>
        <v/>
      </c>
      <c r="Q50" s="103" t="str">
        <f>IF(AND($C50&gt;='1121'!$N$9,$C50&lt;='1121'!$O$9,OR($K50=$Q$7,$L50=$Q$7)),"x","")</f>
        <v/>
      </c>
      <c r="R50" s="103" t="str">
        <f>IF(AND($K50=$Q$7,$C50&lt;'1121'!$N$9),"x","")</f>
        <v/>
      </c>
      <c r="S50" s="103" t="str">
        <f>IF(AND($L50=$Q$7,$C50&lt;'1121'!$N$9),"x","")</f>
        <v>x</v>
      </c>
      <c r="T50" s="103" t="str">
        <f>IF(AND($C50&gt;='1331'!$I$9,$C50&lt;='1331'!$J$9,OR($K50=$T$7,$L50=$T$7)),"x","")</f>
        <v/>
      </c>
      <c r="U50" s="103" t="str">
        <f>IF(AND($K50=$T$7,$C50&lt;'1331'!$I$9),"x","")</f>
        <v/>
      </c>
      <c r="V50" s="103" t="str">
        <f>IF(AND($L50=$T$7,$C50&lt;'1331'!$I$9),"x","")</f>
        <v/>
      </c>
      <c r="W50" s="103" t="str">
        <f>IF(AND('3411-CT'!$E$9=TH!I50,OR(TH!K50=TH!$W$7,L50=TH!$W$7)),"x","")</f>
        <v/>
      </c>
      <c r="X50" s="103" t="str">
        <f>IF(OR(TH!K50=TH!$X$7,L50=TH!$X$7),"x","")</f>
        <v/>
      </c>
    </row>
    <row r="51" spans="1:24" s="88" customFormat="1">
      <c r="A51" s="178" t="str">
        <f>IF(E51&lt;&gt;"",IF(AND(B51='IN - TC'!$Q$4,OR(TH!K51="1111",TH!L51="1111")),TH!E51,""),"")</f>
        <v/>
      </c>
      <c r="B51" s="73">
        <f t="shared" si="4"/>
        <v>2014</v>
      </c>
      <c r="C51" s="73">
        <f t="shared" si="5"/>
        <v>3</v>
      </c>
      <c r="D51" s="74">
        <v>41717</v>
      </c>
      <c r="E51" s="74" t="s">
        <v>8</v>
      </c>
      <c r="F51" s="74">
        <v>41717</v>
      </c>
      <c r="G51" s="80" t="s">
        <v>26</v>
      </c>
      <c r="H51" s="180"/>
      <c r="I51" s="90"/>
      <c r="J51" s="75">
        <v>3000</v>
      </c>
      <c r="K51" s="76" t="s">
        <v>10</v>
      </c>
      <c r="L51" s="76" t="s">
        <v>34</v>
      </c>
      <c r="M51" s="103" t="str">
        <f>IF(AND('331-CT'!$E$7=TH!I51,OR(K51="331",L51="331")),"x","")</f>
        <v/>
      </c>
      <c r="N51" s="103" t="str">
        <f>IF(AND($C51&gt;='1111'!$N$10,$C51&lt;='1111'!$O$10,OR($K51=$N$7,$L51=$N$7)),"x","")</f>
        <v/>
      </c>
      <c r="O51" s="103" t="str">
        <f>IF(AND($K51=$N$7,$C51&lt;'1111'!$N$10),"x","")</f>
        <v/>
      </c>
      <c r="P51" s="103" t="str">
        <f>IF(AND($L51=$N$7,$C51&lt;'1111'!$N$10),"x","")</f>
        <v/>
      </c>
      <c r="Q51" s="103" t="str">
        <f>IF(AND($C51&gt;='1121'!$N$9,$C51&lt;='1121'!$O$9,OR($K51=$Q$7,$L51=$Q$7)),"x","")</f>
        <v/>
      </c>
      <c r="R51" s="103" t="str">
        <f>IF(AND($K51=$Q$7,$C51&lt;'1121'!$N$9),"x","")</f>
        <v/>
      </c>
      <c r="S51" s="103" t="str">
        <f>IF(AND($L51=$Q$7,$C51&lt;'1121'!$N$9),"x","")</f>
        <v>x</v>
      </c>
      <c r="T51" s="103" t="str">
        <f>IF(AND($C51&gt;='1331'!$I$9,$C51&lt;='1331'!$J$9,OR($K51=$T$7,$L51=$T$7)),"x","")</f>
        <v/>
      </c>
      <c r="U51" s="103" t="str">
        <f>IF(AND($K51=$T$7,$C51&lt;'1331'!$I$9),"x","")</f>
        <v>x</v>
      </c>
      <c r="V51" s="103" t="str">
        <f>IF(AND($L51=$T$7,$C51&lt;'1331'!$I$9),"x","")</f>
        <v/>
      </c>
      <c r="W51" s="103" t="str">
        <f>IF(AND('3411-CT'!$E$9=TH!I51,OR(TH!K51=TH!$W$7,L51=TH!$W$7)),"x","")</f>
        <v/>
      </c>
      <c r="X51" s="103" t="str">
        <f>IF(OR(TH!K51=TH!$X$7,L51=TH!$X$7),"x","")</f>
        <v/>
      </c>
    </row>
    <row r="52" spans="1:24" s="88" customFormat="1">
      <c r="A52" s="178" t="str">
        <f>IF(E52&lt;&gt;"",IF(AND(B52='IN - TC'!$Q$4,OR(TH!K52="1111",TH!L52="1111")),TH!E52,""),"")</f>
        <v/>
      </c>
      <c r="B52" s="73">
        <f t="shared" si="4"/>
        <v>2014</v>
      </c>
      <c r="C52" s="73">
        <f t="shared" si="5"/>
        <v>3</v>
      </c>
      <c r="D52" s="86">
        <v>41717</v>
      </c>
      <c r="E52" s="74" t="s">
        <v>8</v>
      </c>
      <c r="F52" s="74">
        <v>41717</v>
      </c>
      <c r="G52" s="77" t="s">
        <v>28</v>
      </c>
      <c r="H52" s="180"/>
      <c r="I52" s="90"/>
      <c r="J52" s="75">
        <v>30000</v>
      </c>
      <c r="K52" s="76" t="s">
        <v>159</v>
      </c>
      <c r="L52" s="76" t="s">
        <v>34</v>
      </c>
      <c r="M52" s="103" t="str">
        <f>IF(AND('331-CT'!$E$7=TH!I52,OR(K52="331",L52="331")),"x","")</f>
        <v/>
      </c>
      <c r="N52" s="103" t="str">
        <f>IF(AND($C52&gt;='1111'!$N$10,$C52&lt;='1111'!$O$10,OR($K52=$N$7,$L52=$N$7)),"x","")</f>
        <v/>
      </c>
      <c r="O52" s="103" t="str">
        <f>IF(AND($K52=$N$7,$C52&lt;'1111'!$N$10),"x","")</f>
        <v/>
      </c>
      <c r="P52" s="103" t="str">
        <f>IF(AND($L52=$N$7,$C52&lt;'1111'!$N$10),"x","")</f>
        <v/>
      </c>
      <c r="Q52" s="103" t="str">
        <f>IF(AND($C52&gt;='1121'!$N$9,$C52&lt;='1121'!$O$9,OR($K52=$Q$7,$L52=$Q$7)),"x","")</f>
        <v/>
      </c>
      <c r="R52" s="103" t="str">
        <f>IF(AND($K52=$Q$7,$C52&lt;'1121'!$N$9),"x","")</f>
        <v/>
      </c>
      <c r="S52" s="103" t="str">
        <f>IF(AND($L52=$Q$7,$C52&lt;'1121'!$N$9),"x","")</f>
        <v>x</v>
      </c>
      <c r="T52" s="103" t="str">
        <f>IF(AND($C52&gt;='1331'!$I$9,$C52&lt;='1331'!$J$9,OR($K52=$T$7,$L52=$T$7)),"x","")</f>
        <v/>
      </c>
      <c r="U52" s="103" t="str">
        <f>IF(AND($K52=$T$7,$C52&lt;'1331'!$I$9),"x","")</f>
        <v/>
      </c>
      <c r="V52" s="103" t="str">
        <f>IF(AND($L52=$T$7,$C52&lt;'1331'!$I$9),"x","")</f>
        <v/>
      </c>
      <c r="W52" s="103" t="str">
        <f>IF(AND('3411-CT'!$E$9=TH!I52,OR(TH!K52=TH!$W$7,L52=TH!$W$7)),"x","")</f>
        <v/>
      </c>
      <c r="X52" s="103" t="str">
        <f>IF(OR(TH!K52=TH!$X$7,L52=TH!$X$7),"x","")</f>
        <v/>
      </c>
    </row>
    <row r="53" spans="1:24" s="88" customFormat="1">
      <c r="A53" s="178" t="str">
        <f>IF(E53&lt;&gt;"",IF(AND(B53='IN - TC'!$Q$4,OR(TH!K53="1111",TH!L53="1111")),TH!E53,""),"")</f>
        <v/>
      </c>
      <c r="B53" s="73">
        <f t="shared" si="4"/>
        <v>2014</v>
      </c>
      <c r="C53" s="73">
        <f t="shared" si="5"/>
        <v>3</v>
      </c>
      <c r="D53" s="74">
        <v>41717</v>
      </c>
      <c r="E53" s="74" t="s">
        <v>8</v>
      </c>
      <c r="F53" s="74">
        <v>41717</v>
      </c>
      <c r="G53" s="77" t="s">
        <v>26</v>
      </c>
      <c r="H53" s="180"/>
      <c r="I53" s="91"/>
      <c r="J53" s="75">
        <v>3000</v>
      </c>
      <c r="K53" s="76" t="s">
        <v>10</v>
      </c>
      <c r="L53" s="76" t="s">
        <v>34</v>
      </c>
      <c r="M53" s="103" t="str">
        <f>IF(AND('331-CT'!$E$7=TH!I53,OR(K53="331",L53="331")),"x","")</f>
        <v/>
      </c>
      <c r="N53" s="103" t="str">
        <f>IF(AND($C53&gt;='1111'!$N$10,$C53&lt;='1111'!$O$10,OR($K53=$N$7,$L53=$N$7)),"x","")</f>
        <v/>
      </c>
      <c r="O53" s="103" t="str">
        <f>IF(AND($K53=$N$7,$C53&lt;'1111'!$N$10),"x","")</f>
        <v/>
      </c>
      <c r="P53" s="103" t="str">
        <f>IF(AND($L53=$N$7,$C53&lt;'1111'!$N$10),"x","")</f>
        <v/>
      </c>
      <c r="Q53" s="103" t="str">
        <f>IF(AND($C53&gt;='1121'!$N$9,$C53&lt;='1121'!$O$9,OR($K53=$Q$7,$L53=$Q$7)),"x","")</f>
        <v/>
      </c>
      <c r="R53" s="103" t="str">
        <f>IF(AND($K53=$Q$7,$C53&lt;'1121'!$N$9),"x","")</f>
        <v/>
      </c>
      <c r="S53" s="103" t="str">
        <f>IF(AND($L53=$Q$7,$C53&lt;'1121'!$N$9),"x","")</f>
        <v>x</v>
      </c>
      <c r="T53" s="103" t="str">
        <f>IF(AND($C53&gt;='1331'!$I$9,$C53&lt;='1331'!$J$9,OR($K53=$T$7,$L53=$T$7)),"x","")</f>
        <v/>
      </c>
      <c r="U53" s="103" t="str">
        <f>IF(AND($K53=$T$7,$C53&lt;'1331'!$I$9),"x","")</f>
        <v>x</v>
      </c>
      <c r="V53" s="103" t="str">
        <f>IF(AND($L53=$T$7,$C53&lt;'1331'!$I$9),"x","")</f>
        <v/>
      </c>
      <c r="W53" s="103" t="str">
        <f>IF(AND('3411-CT'!$E$9=TH!I53,OR(TH!K53=TH!$W$7,L53=TH!$W$7)),"x","")</f>
        <v/>
      </c>
      <c r="X53" s="103" t="str">
        <f>IF(OR(TH!K53=TH!$X$7,L53=TH!$X$7),"x","")</f>
        <v/>
      </c>
    </row>
    <row r="54" spans="1:24" s="88" customFormat="1">
      <c r="A54" s="178" t="str">
        <f>IF(E54&lt;&gt;"",IF(AND(B54='IN - TC'!$Q$4,OR(TH!K54="1111",TH!L54="1111")),TH!E54,""),"")</f>
        <v>C06</v>
      </c>
      <c r="B54" s="73">
        <f t="shared" si="4"/>
        <v>2014</v>
      </c>
      <c r="C54" s="73">
        <f t="shared" si="5"/>
        <v>3</v>
      </c>
      <c r="D54" s="74">
        <v>41718</v>
      </c>
      <c r="E54" s="74" t="s">
        <v>81</v>
      </c>
      <c r="F54" s="74">
        <v>41718</v>
      </c>
      <c r="G54" s="77" t="s">
        <v>222</v>
      </c>
      <c r="H54" s="180"/>
      <c r="I54" s="91" t="s">
        <v>186</v>
      </c>
      <c r="J54" s="75">
        <v>133200000</v>
      </c>
      <c r="K54" s="76" t="s">
        <v>34</v>
      </c>
      <c r="L54" s="76" t="s">
        <v>120</v>
      </c>
      <c r="M54" s="103" t="str">
        <f>IF(AND('331-CT'!$E$7=TH!I54,OR(K54="331",L54="331")),"x","")</f>
        <v/>
      </c>
      <c r="N54" s="103" t="str">
        <f>IF(AND($C54&gt;='1111'!$N$10,$C54&lt;='1111'!$O$10,OR($K54=$N$7,$L54=$N$7)),"x","")</f>
        <v/>
      </c>
      <c r="O54" s="103" t="str">
        <f>IF(AND($K54=$N$7,$C54&lt;'1111'!$N$10),"x","")</f>
        <v/>
      </c>
      <c r="P54" s="103" t="str">
        <f>IF(AND($L54=$N$7,$C54&lt;'1111'!$N$10),"x","")</f>
        <v>x</v>
      </c>
      <c r="Q54" s="103" t="str">
        <f>IF(AND($C54&gt;='1121'!$N$9,$C54&lt;='1121'!$O$9,OR($K54=$Q$7,$L54=$Q$7)),"x","")</f>
        <v/>
      </c>
      <c r="R54" s="103" t="str">
        <f>IF(AND($K54=$Q$7,$C54&lt;'1121'!$N$9),"x","")</f>
        <v>x</v>
      </c>
      <c r="S54" s="103" t="str">
        <f>IF(AND($L54=$Q$7,$C54&lt;'1121'!$N$9),"x","")</f>
        <v/>
      </c>
      <c r="T54" s="103" t="str">
        <f>IF(AND($C54&gt;='1331'!$I$9,$C54&lt;='1331'!$J$9,OR($K54=$T$7,$L54=$T$7)),"x","")</f>
        <v/>
      </c>
      <c r="U54" s="103" t="str">
        <f>IF(AND($K54=$T$7,$C54&lt;'1331'!$I$9),"x","")</f>
        <v/>
      </c>
      <c r="V54" s="103" t="str">
        <f>IF(AND($L54=$T$7,$C54&lt;'1331'!$I$9),"x","")</f>
        <v/>
      </c>
      <c r="W54" s="103" t="str">
        <f>IF(AND('3411-CT'!$E$9=TH!I54,OR(TH!K54=TH!$W$7,L54=TH!$W$7)),"x","")</f>
        <v/>
      </c>
      <c r="X54" s="103" t="str">
        <f>IF(OR(TH!K54=TH!$X$7,L54=TH!$X$7),"x","")</f>
        <v/>
      </c>
    </row>
    <row r="55" spans="1:24" s="88" customFormat="1">
      <c r="A55" s="178" t="str">
        <f>IF(E55&lt;&gt;"",IF(AND(B55='IN - TC'!$Q$4,OR(TH!K55="1111",TH!L55="1111")),TH!E55,""),"")</f>
        <v/>
      </c>
      <c r="B55" s="73">
        <f t="shared" si="4"/>
        <v>2014</v>
      </c>
      <c r="C55" s="73">
        <f t="shared" si="5"/>
        <v>3</v>
      </c>
      <c r="D55" s="74">
        <v>41718</v>
      </c>
      <c r="E55" s="74" t="s">
        <v>8</v>
      </c>
      <c r="F55" s="74">
        <v>41718</v>
      </c>
      <c r="G55" s="77" t="s">
        <v>353</v>
      </c>
      <c r="H55" s="180"/>
      <c r="I55" s="91" t="s">
        <v>57</v>
      </c>
      <c r="J55" s="75">
        <v>133147080</v>
      </c>
      <c r="K55" s="76" t="s">
        <v>9</v>
      </c>
      <c r="L55" s="76" t="s">
        <v>34</v>
      </c>
      <c r="M55" s="103" t="str">
        <f>IF(AND('331-CT'!$E$7=TH!I55,OR(K55="331",L55="331")),"x","")</f>
        <v/>
      </c>
      <c r="N55" s="103" t="str">
        <f>IF(AND($C55&gt;='1111'!$N$10,$C55&lt;='1111'!$O$10,OR($K55=$N$7,$L55=$N$7)),"x","")</f>
        <v/>
      </c>
      <c r="O55" s="103" t="str">
        <f>IF(AND($K55=$N$7,$C55&lt;'1111'!$N$10),"x","")</f>
        <v/>
      </c>
      <c r="P55" s="103" t="str">
        <f>IF(AND($L55=$N$7,$C55&lt;'1111'!$N$10),"x","")</f>
        <v/>
      </c>
      <c r="Q55" s="103" t="str">
        <f>IF(AND($C55&gt;='1121'!$N$9,$C55&lt;='1121'!$O$9,OR($K55=$Q$7,$L55=$Q$7)),"x","")</f>
        <v/>
      </c>
      <c r="R55" s="103" t="str">
        <f>IF(AND($K55=$Q$7,$C55&lt;'1121'!$N$9),"x","")</f>
        <v/>
      </c>
      <c r="S55" s="103" t="str">
        <f>IF(AND($L55=$Q$7,$C55&lt;'1121'!$N$9),"x","")</f>
        <v>x</v>
      </c>
      <c r="T55" s="103" t="str">
        <f>IF(AND($C55&gt;='1331'!$I$9,$C55&lt;='1331'!$J$9,OR($K55=$T$7,$L55=$T$7)),"x","")</f>
        <v/>
      </c>
      <c r="U55" s="103" t="str">
        <f>IF(AND($K55=$T$7,$C55&lt;'1331'!$I$9),"x","")</f>
        <v/>
      </c>
      <c r="V55" s="103" t="str">
        <f>IF(AND($L55=$T$7,$C55&lt;'1331'!$I$9),"x","")</f>
        <v/>
      </c>
      <c r="W55" s="103" t="str">
        <f>IF(AND('3411-CT'!$E$9=TH!I55,OR(TH!K55=TH!$W$7,L55=TH!$W$7)),"x","")</f>
        <v/>
      </c>
      <c r="X55" s="103" t="str">
        <f>IF(OR(TH!K55=TH!$X$7,L55=TH!$X$7),"x","")</f>
        <v/>
      </c>
    </row>
    <row r="56" spans="1:24" s="88" customFormat="1">
      <c r="A56" s="178" t="str">
        <f>IF(E56&lt;&gt;"",IF(AND(B56='IN - TC'!$Q$4,OR(TH!K56="1111",TH!L56="1111")),TH!E56,""),"")</f>
        <v/>
      </c>
      <c r="B56" s="73">
        <f t="shared" si="4"/>
        <v>2014</v>
      </c>
      <c r="C56" s="73">
        <f t="shared" si="5"/>
        <v>3</v>
      </c>
      <c r="D56" s="74">
        <v>41718</v>
      </c>
      <c r="E56" s="74" t="s">
        <v>8</v>
      </c>
      <c r="F56" s="74">
        <v>41718</v>
      </c>
      <c r="G56" s="77" t="s">
        <v>21</v>
      </c>
      <c r="H56" s="180"/>
      <c r="I56" s="91"/>
      <c r="J56" s="75">
        <v>52911</v>
      </c>
      <c r="K56" s="76" t="s">
        <v>159</v>
      </c>
      <c r="L56" s="76" t="s">
        <v>34</v>
      </c>
      <c r="M56" s="103" t="str">
        <f>IF(AND('331-CT'!$E$7=TH!I56,OR(K56="331",L56="331")),"x","")</f>
        <v/>
      </c>
      <c r="N56" s="103" t="str">
        <f>IF(AND($C56&gt;='1111'!$N$10,$C56&lt;='1111'!$O$10,OR($K56=$N$7,$L56=$N$7)),"x","")</f>
        <v/>
      </c>
      <c r="O56" s="103" t="str">
        <f>IF(AND($K56=$N$7,$C56&lt;'1111'!$N$10),"x","")</f>
        <v/>
      </c>
      <c r="P56" s="103" t="str">
        <f>IF(AND($L56=$N$7,$C56&lt;'1111'!$N$10),"x","")</f>
        <v/>
      </c>
      <c r="Q56" s="103" t="str">
        <f>IF(AND($C56&gt;='1121'!$N$9,$C56&lt;='1121'!$O$9,OR($K56=$Q$7,$L56=$Q$7)),"x","")</f>
        <v/>
      </c>
      <c r="R56" s="103" t="str">
        <f>IF(AND($K56=$Q$7,$C56&lt;'1121'!$N$9),"x","")</f>
        <v/>
      </c>
      <c r="S56" s="103" t="str">
        <f>IF(AND($L56=$Q$7,$C56&lt;'1121'!$N$9),"x","")</f>
        <v>x</v>
      </c>
      <c r="T56" s="103" t="str">
        <f>IF(AND($C56&gt;='1331'!$I$9,$C56&lt;='1331'!$J$9,OR($K56=$T$7,$L56=$T$7)),"x","")</f>
        <v/>
      </c>
      <c r="U56" s="103" t="str">
        <f>IF(AND($K56=$T$7,$C56&lt;'1331'!$I$9),"x","")</f>
        <v/>
      </c>
      <c r="V56" s="103" t="str">
        <f>IF(AND($L56=$T$7,$C56&lt;'1331'!$I$9),"x","")</f>
        <v/>
      </c>
      <c r="W56" s="103" t="str">
        <f>IF(AND('3411-CT'!$E$9=TH!I56,OR(TH!K56=TH!$W$7,L56=TH!$W$7)),"x","")</f>
        <v/>
      </c>
      <c r="X56" s="103" t="str">
        <f>IF(OR(TH!K56=TH!$X$7,L56=TH!$X$7),"x","")</f>
        <v/>
      </c>
    </row>
    <row r="57" spans="1:24" s="88" customFormat="1">
      <c r="A57" s="178" t="str">
        <f>IF(E57&lt;&gt;"",IF(AND(B57='IN - TC'!$Q$4,OR(TH!K57="1111",TH!L57="1111")),TH!E57,""),"")</f>
        <v/>
      </c>
      <c r="B57" s="73">
        <f t="shared" si="4"/>
        <v>2014</v>
      </c>
      <c r="C57" s="73">
        <f t="shared" si="5"/>
        <v>3</v>
      </c>
      <c r="D57" s="74">
        <v>41718</v>
      </c>
      <c r="E57" s="74" t="s">
        <v>8</v>
      </c>
      <c r="F57" s="74">
        <v>41718</v>
      </c>
      <c r="G57" s="77" t="s">
        <v>22</v>
      </c>
      <c r="H57" s="180"/>
      <c r="I57" s="91"/>
      <c r="J57" s="75">
        <v>5291</v>
      </c>
      <c r="K57" s="76" t="s">
        <v>10</v>
      </c>
      <c r="L57" s="76" t="s">
        <v>34</v>
      </c>
      <c r="M57" s="103" t="str">
        <f>IF(AND('331-CT'!$E$7=TH!I57,OR(K57="331",L57="331")),"x","")</f>
        <v/>
      </c>
      <c r="N57" s="103" t="str">
        <f>IF(AND($C57&gt;='1111'!$N$10,$C57&lt;='1111'!$O$10,OR($K57=$N$7,$L57=$N$7)),"x","")</f>
        <v/>
      </c>
      <c r="O57" s="103" t="str">
        <f>IF(AND($K57=$N$7,$C57&lt;'1111'!$N$10),"x","")</f>
        <v/>
      </c>
      <c r="P57" s="103" t="str">
        <f>IF(AND($L57=$N$7,$C57&lt;'1111'!$N$10),"x","")</f>
        <v/>
      </c>
      <c r="Q57" s="103" t="str">
        <f>IF(AND($C57&gt;='1121'!$N$9,$C57&lt;='1121'!$O$9,OR($K57=$Q$7,$L57=$Q$7)),"x","")</f>
        <v/>
      </c>
      <c r="R57" s="103" t="str">
        <f>IF(AND($K57=$Q$7,$C57&lt;'1121'!$N$9),"x","")</f>
        <v/>
      </c>
      <c r="S57" s="103" t="str">
        <f>IF(AND($L57=$Q$7,$C57&lt;'1121'!$N$9),"x","")</f>
        <v>x</v>
      </c>
      <c r="T57" s="103" t="str">
        <f>IF(AND($C57&gt;='1331'!$I$9,$C57&lt;='1331'!$J$9,OR($K57=$T$7,$L57=$T$7)),"x","")</f>
        <v/>
      </c>
      <c r="U57" s="103" t="str">
        <f>IF(AND($K57=$T$7,$C57&lt;'1331'!$I$9),"x","")</f>
        <v>x</v>
      </c>
      <c r="V57" s="103" t="str">
        <f>IF(AND($L57=$T$7,$C57&lt;'1331'!$I$9),"x","")</f>
        <v/>
      </c>
      <c r="W57" s="103" t="str">
        <f>IF(AND('3411-CT'!$E$9=TH!I57,OR(TH!K57=TH!$W$7,L57=TH!$W$7)),"x","")</f>
        <v/>
      </c>
      <c r="X57" s="103" t="str">
        <f>IF(OR(TH!K57=TH!$X$7,L57=TH!$X$7),"x","")</f>
        <v/>
      </c>
    </row>
    <row r="58" spans="1:24" s="88" customFormat="1">
      <c r="A58" s="178" t="str">
        <f>IF(E58&lt;&gt;"",IF(AND(B58='IN - TC'!$Q$4,OR(TH!K58="1111",TH!L58="1111")),TH!E58,""),"")</f>
        <v>C07</v>
      </c>
      <c r="B58" s="73">
        <f t="shared" si="4"/>
        <v>2014</v>
      </c>
      <c r="C58" s="73">
        <f t="shared" si="5"/>
        <v>3</v>
      </c>
      <c r="D58" s="74">
        <v>41722</v>
      </c>
      <c r="E58" s="74" t="s">
        <v>82</v>
      </c>
      <c r="F58" s="74">
        <v>41722</v>
      </c>
      <c r="G58" s="77" t="s">
        <v>222</v>
      </c>
      <c r="H58" s="180"/>
      <c r="I58" s="91" t="s">
        <v>186</v>
      </c>
      <c r="J58" s="75">
        <v>30000000</v>
      </c>
      <c r="K58" s="76" t="s">
        <v>34</v>
      </c>
      <c r="L58" s="76" t="s">
        <v>120</v>
      </c>
      <c r="M58" s="103" t="str">
        <f>IF(AND('331-CT'!$E$7=TH!I58,OR(K58="331",L58="331")),"x","")</f>
        <v/>
      </c>
      <c r="N58" s="103" t="str">
        <f>IF(AND($C58&gt;='1111'!$N$10,$C58&lt;='1111'!$O$10,OR($K58=$N$7,$L58=$N$7)),"x","")</f>
        <v/>
      </c>
      <c r="O58" s="103" t="str">
        <f>IF(AND($K58=$N$7,$C58&lt;'1111'!$N$10),"x","")</f>
        <v/>
      </c>
      <c r="P58" s="103" t="str">
        <f>IF(AND($L58=$N$7,$C58&lt;'1111'!$N$10),"x","")</f>
        <v>x</v>
      </c>
      <c r="Q58" s="103" t="str">
        <f>IF(AND($C58&gt;='1121'!$N$9,$C58&lt;='1121'!$O$9,OR($K58=$Q$7,$L58=$Q$7)),"x","")</f>
        <v/>
      </c>
      <c r="R58" s="103" t="str">
        <f>IF(AND($K58=$Q$7,$C58&lt;'1121'!$N$9),"x","")</f>
        <v>x</v>
      </c>
      <c r="S58" s="103" t="str">
        <f>IF(AND($L58=$Q$7,$C58&lt;'1121'!$N$9),"x","")</f>
        <v/>
      </c>
      <c r="T58" s="103" t="str">
        <f>IF(AND($C58&gt;='1331'!$I$9,$C58&lt;='1331'!$J$9,OR($K58=$T$7,$L58=$T$7)),"x","")</f>
        <v/>
      </c>
      <c r="U58" s="103" t="str">
        <f>IF(AND($K58=$T$7,$C58&lt;'1331'!$I$9),"x","")</f>
        <v/>
      </c>
      <c r="V58" s="103" t="str">
        <f>IF(AND($L58=$T$7,$C58&lt;'1331'!$I$9),"x","")</f>
        <v/>
      </c>
      <c r="W58" s="103" t="str">
        <f>IF(AND('3411-CT'!$E$9=TH!I58,OR(TH!K58=TH!$W$7,L58=TH!$W$7)),"x","")</f>
        <v/>
      </c>
      <c r="X58" s="103" t="str">
        <f>IF(OR(TH!K58=TH!$X$7,L58=TH!$X$7),"x","")</f>
        <v/>
      </c>
    </row>
    <row r="59" spans="1:24" s="88" customFormat="1">
      <c r="A59" s="178" t="str">
        <f>IF(E59&lt;&gt;"",IF(AND(B59='IN - TC'!$Q$4,OR(TH!K59="1111",TH!L59="1111")),TH!E59,""),"")</f>
        <v/>
      </c>
      <c r="B59" s="73">
        <f t="shared" ref="B59:B82" si="8">IF(D59&lt;&gt;"",YEAR(D59),"")</f>
        <v>2014</v>
      </c>
      <c r="C59" s="73">
        <f t="shared" ref="C59:C82" si="9">IF(D59&lt;&gt;"",MONTH(D59),"")</f>
        <v>3</v>
      </c>
      <c r="D59" s="74">
        <v>41723</v>
      </c>
      <c r="E59" s="74" t="s">
        <v>8</v>
      </c>
      <c r="F59" s="74">
        <v>41723</v>
      </c>
      <c r="G59" s="77" t="s">
        <v>356</v>
      </c>
      <c r="H59" s="180"/>
      <c r="I59" s="91" t="s">
        <v>58</v>
      </c>
      <c r="J59" s="75">
        <v>30000000</v>
      </c>
      <c r="K59" s="76" t="s">
        <v>9</v>
      </c>
      <c r="L59" s="76" t="s">
        <v>34</v>
      </c>
      <c r="M59" s="103" t="str">
        <f>IF(AND('331-CT'!$E$7=TH!I59,OR(K59="331",L59="331")),"x","")</f>
        <v/>
      </c>
      <c r="N59" s="103" t="str">
        <f>IF(AND($C59&gt;='1111'!$N$10,$C59&lt;='1111'!$O$10,OR($K59=$N$7,$L59=$N$7)),"x","")</f>
        <v/>
      </c>
      <c r="O59" s="103" t="str">
        <f>IF(AND($K59=$N$7,$C59&lt;'1111'!$N$10),"x","")</f>
        <v/>
      </c>
      <c r="P59" s="103" t="str">
        <f>IF(AND($L59=$N$7,$C59&lt;'1111'!$N$10),"x","")</f>
        <v/>
      </c>
      <c r="Q59" s="103" t="str">
        <f>IF(AND($C59&gt;='1121'!$N$9,$C59&lt;='1121'!$O$9,OR($K59=$Q$7,$L59=$Q$7)),"x","")</f>
        <v/>
      </c>
      <c r="R59" s="103" t="str">
        <f>IF(AND($K59=$Q$7,$C59&lt;'1121'!$N$9),"x","")</f>
        <v/>
      </c>
      <c r="S59" s="103" t="str">
        <f>IF(AND($L59=$Q$7,$C59&lt;'1121'!$N$9),"x","")</f>
        <v>x</v>
      </c>
      <c r="T59" s="103" t="str">
        <f>IF(AND($C59&gt;='1331'!$I$9,$C59&lt;='1331'!$J$9,OR($K59=$T$7,$L59=$T$7)),"x","")</f>
        <v/>
      </c>
      <c r="U59" s="103" t="str">
        <f>IF(AND($K59=$T$7,$C59&lt;'1331'!$I$9),"x","")</f>
        <v/>
      </c>
      <c r="V59" s="103" t="str">
        <f>IF(AND($L59=$T$7,$C59&lt;'1331'!$I$9),"x","")</f>
        <v/>
      </c>
      <c r="W59" s="103" t="str">
        <f>IF(AND('3411-CT'!$E$9=TH!I59,OR(TH!K59=TH!$W$7,L59=TH!$W$7)),"x","")</f>
        <v/>
      </c>
      <c r="X59" s="103" t="str">
        <f>IF(OR(TH!K59=TH!$X$7,L59=TH!$X$7),"x","")</f>
        <v/>
      </c>
    </row>
    <row r="60" spans="1:24" s="88" customFormat="1">
      <c r="A60" s="178" t="str">
        <f>IF(E60&lt;&gt;"",IF(AND(B60='IN - TC'!$Q$4,OR(TH!K60="1111",TH!L60="1111")),TH!E60,""),"")</f>
        <v/>
      </c>
      <c r="B60" s="73">
        <f t="shared" si="8"/>
        <v>2014</v>
      </c>
      <c r="C60" s="73">
        <f t="shared" si="9"/>
        <v>3</v>
      </c>
      <c r="D60" s="74">
        <v>41723</v>
      </c>
      <c r="E60" s="74" t="s">
        <v>8</v>
      </c>
      <c r="F60" s="74">
        <v>41723</v>
      </c>
      <c r="G60" s="77" t="s">
        <v>21</v>
      </c>
      <c r="H60" s="180"/>
      <c r="I60" s="91"/>
      <c r="J60" s="75">
        <v>20000</v>
      </c>
      <c r="K60" s="76" t="s">
        <v>159</v>
      </c>
      <c r="L60" s="76" t="s">
        <v>34</v>
      </c>
      <c r="M60" s="103" t="str">
        <f>IF(AND('331-CT'!$E$7=TH!I60,OR(K60="331",L60="331")),"x","")</f>
        <v/>
      </c>
      <c r="N60" s="103" t="str">
        <f>IF(AND($C60&gt;='1111'!$N$10,$C60&lt;='1111'!$O$10,OR($K60=$N$7,$L60=$N$7)),"x","")</f>
        <v/>
      </c>
      <c r="O60" s="103" t="str">
        <f>IF(AND($K60=$N$7,$C60&lt;'1111'!$N$10),"x","")</f>
        <v/>
      </c>
      <c r="P60" s="103" t="str">
        <f>IF(AND($L60=$N$7,$C60&lt;'1111'!$N$10),"x","")</f>
        <v/>
      </c>
      <c r="Q60" s="103" t="str">
        <f>IF(AND($C60&gt;='1121'!$N$9,$C60&lt;='1121'!$O$9,OR($K60=$Q$7,$L60=$Q$7)),"x","")</f>
        <v/>
      </c>
      <c r="R60" s="103" t="str">
        <f>IF(AND($K60=$Q$7,$C60&lt;'1121'!$N$9),"x","")</f>
        <v/>
      </c>
      <c r="S60" s="103" t="str">
        <f>IF(AND($L60=$Q$7,$C60&lt;'1121'!$N$9),"x","")</f>
        <v>x</v>
      </c>
      <c r="T60" s="103" t="str">
        <f>IF(AND($C60&gt;='1331'!$I$9,$C60&lt;='1331'!$J$9,OR($K60=$T$7,$L60=$T$7)),"x","")</f>
        <v/>
      </c>
      <c r="U60" s="103" t="str">
        <f>IF(AND($K60=$T$7,$C60&lt;'1331'!$I$9),"x","")</f>
        <v/>
      </c>
      <c r="V60" s="103" t="str">
        <f>IF(AND($L60=$T$7,$C60&lt;'1331'!$I$9),"x","")</f>
        <v/>
      </c>
      <c r="W60" s="103" t="str">
        <f>IF(AND('3411-CT'!$E$9=TH!I60,OR(TH!K60=TH!$W$7,L60=TH!$W$7)),"x","")</f>
        <v/>
      </c>
      <c r="X60" s="103" t="str">
        <f>IF(OR(TH!K60=TH!$X$7,L60=TH!$X$7),"x","")</f>
        <v/>
      </c>
    </row>
    <row r="61" spans="1:24" s="88" customFormat="1">
      <c r="A61" s="178" t="str">
        <f>IF(E61&lt;&gt;"",IF(AND(B61='IN - TC'!$Q$4,OR(TH!K61="1111",TH!L61="1111")),TH!E61,""),"")</f>
        <v/>
      </c>
      <c r="B61" s="73">
        <f t="shared" si="8"/>
        <v>2014</v>
      </c>
      <c r="C61" s="73">
        <f t="shared" si="9"/>
        <v>3</v>
      </c>
      <c r="D61" s="74">
        <v>41723</v>
      </c>
      <c r="E61" s="74" t="s">
        <v>8</v>
      </c>
      <c r="F61" s="74">
        <v>41723</v>
      </c>
      <c r="G61" s="77" t="s">
        <v>22</v>
      </c>
      <c r="H61" s="180"/>
      <c r="I61" s="91"/>
      <c r="J61" s="75">
        <v>2000</v>
      </c>
      <c r="K61" s="76" t="s">
        <v>10</v>
      </c>
      <c r="L61" s="76" t="s">
        <v>34</v>
      </c>
      <c r="M61" s="103" t="str">
        <f>IF(AND('331-CT'!$E$7=TH!I61,OR(K61="331",L61="331")),"x","")</f>
        <v/>
      </c>
      <c r="N61" s="103" t="str">
        <f>IF(AND($C61&gt;='1111'!$N$10,$C61&lt;='1111'!$O$10,OR($K61=$N$7,$L61=$N$7)),"x","")</f>
        <v/>
      </c>
      <c r="O61" s="103" t="str">
        <f>IF(AND($K61=$N$7,$C61&lt;'1111'!$N$10),"x","")</f>
        <v/>
      </c>
      <c r="P61" s="103" t="str">
        <f>IF(AND($L61=$N$7,$C61&lt;'1111'!$N$10),"x","")</f>
        <v/>
      </c>
      <c r="Q61" s="103" t="str">
        <f>IF(AND($C61&gt;='1121'!$N$9,$C61&lt;='1121'!$O$9,OR($K61=$Q$7,$L61=$Q$7)),"x","")</f>
        <v/>
      </c>
      <c r="R61" s="103" t="str">
        <f>IF(AND($K61=$Q$7,$C61&lt;'1121'!$N$9),"x","")</f>
        <v/>
      </c>
      <c r="S61" s="103" t="str">
        <f>IF(AND($L61=$Q$7,$C61&lt;'1121'!$N$9),"x","")</f>
        <v>x</v>
      </c>
      <c r="T61" s="103" t="str">
        <f>IF(AND($C61&gt;='1331'!$I$9,$C61&lt;='1331'!$J$9,OR($K61=$T$7,$L61=$T$7)),"x","")</f>
        <v/>
      </c>
      <c r="U61" s="103" t="str">
        <f>IF(AND($K61=$T$7,$C61&lt;'1331'!$I$9),"x","")</f>
        <v>x</v>
      </c>
      <c r="V61" s="103" t="str">
        <f>IF(AND($L61=$T$7,$C61&lt;'1331'!$I$9),"x","")</f>
        <v/>
      </c>
      <c r="W61" s="103" t="str">
        <f>IF(AND('3411-CT'!$E$9=TH!I61,OR(TH!K61=TH!$W$7,L61=TH!$W$7)),"x","")</f>
        <v/>
      </c>
      <c r="X61" s="103" t="str">
        <f>IF(OR(TH!K61=TH!$X$7,L61=TH!$X$7),"x","")</f>
        <v/>
      </c>
    </row>
    <row r="62" spans="1:24" s="88" customFormat="1">
      <c r="A62" s="178" t="str">
        <f>IF(E62&lt;&gt;"",IF(AND(B62='IN - TC'!$Q$4,OR(TH!K62="1111",TH!L62="1111")),TH!E62,""),"")</f>
        <v/>
      </c>
      <c r="B62" s="73">
        <f t="shared" si="8"/>
        <v>2014</v>
      </c>
      <c r="C62" s="73">
        <f t="shared" si="9"/>
        <v>4</v>
      </c>
      <c r="D62" s="74">
        <v>41743</v>
      </c>
      <c r="E62" s="74" t="s">
        <v>49</v>
      </c>
      <c r="F62" s="74">
        <v>41743</v>
      </c>
      <c r="G62" s="77" t="s">
        <v>357</v>
      </c>
      <c r="H62" s="180" t="s">
        <v>221</v>
      </c>
      <c r="I62" s="91" t="s">
        <v>56</v>
      </c>
      <c r="J62" s="75">
        <v>55000000</v>
      </c>
      <c r="K62" s="76" t="s">
        <v>248</v>
      </c>
      <c r="L62" s="76" t="s">
        <v>9</v>
      </c>
      <c r="M62" s="103" t="str">
        <f>IF(AND('331-CT'!$E$7=TH!I62,OR(K62="331",L62="331")),"x","")</f>
        <v/>
      </c>
      <c r="N62" s="103" t="str">
        <f>IF(AND($C62&gt;='1111'!$N$10,$C62&lt;='1111'!$O$10,OR($K62=$N$7,$L62=$N$7)),"x","")</f>
        <v/>
      </c>
      <c r="O62" s="103" t="str">
        <f>IF(AND($K62=$N$7,$C62&lt;'1111'!$N$10),"x","")</f>
        <v/>
      </c>
      <c r="P62" s="103" t="str">
        <f>IF(AND($L62=$N$7,$C62&lt;'1111'!$N$10),"x","")</f>
        <v/>
      </c>
      <c r="Q62" s="103" t="str">
        <f>IF(AND($C62&gt;='1121'!$N$9,$C62&lt;='1121'!$O$9,OR($K62=$Q$7,$L62=$Q$7)),"x","")</f>
        <v/>
      </c>
      <c r="R62" s="103" t="str">
        <f>IF(AND($K62=$Q$7,$C62&lt;'1121'!$N$9),"x","")</f>
        <v/>
      </c>
      <c r="S62" s="103" t="str">
        <f>IF(AND($L62=$Q$7,$C62&lt;'1121'!$N$9),"x","")</f>
        <v/>
      </c>
      <c r="T62" s="103" t="str">
        <f>IF(AND($C62&gt;='1331'!$I$9,$C62&lt;='1331'!$J$9,OR($K62=$T$7,$L62=$T$7)),"x","")</f>
        <v/>
      </c>
      <c r="U62" s="103" t="str">
        <f>IF(AND($K62=$T$7,$C62&lt;'1331'!$I$9),"x","")</f>
        <v/>
      </c>
      <c r="V62" s="103" t="str">
        <f>IF(AND($L62=$T$7,$C62&lt;'1331'!$I$9),"x","")</f>
        <v/>
      </c>
      <c r="W62" s="103" t="str">
        <f>IF(AND('3411-CT'!$E$9=TH!I62,OR(TH!K62=TH!$W$7,L62=TH!$W$7)),"x","")</f>
        <v/>
      </c>
      <c r="X62" s="103" t="str">
        <f>IF(OR(TH!K62=TH!$X$7,L62=TH!$X$7),"x","")</f>
        <v/>
      </c>
    </row>
    <row r="63" spans="1:24" s="88" customFormat="1">
      <c r="A63" s="178" t="str">
        <f>IF(E63&lt;&gt;"",IF(AND(B63='IN - TC'!$Q$4,OR(TH!K63="1111",TH!L63="1111")),TH!E63,""),"")</f>
        <v/>
      </c>
      <c r="B63" s="73">
        <f t="shared" si="8"/>
        <v>2014</v>
      </c>
      <c r="C63" s="73">
        <f t="shared" si="9"/>
        <v>4</v>
      </c>
      <c r="D63" s="86">
        <v>41743</v>
      </c>
      <c r="E63" s="74" t="s">
        <v>49</v>
      </c>
      <c r="F63" s="74">
        <v>41743</v>
      </c>
      <c r="G63" s="77" t="s">
        <v>358</v>
      </c>
      <c r="H63" s="180" t="s">
        <v>221</v>
      </c>
      <c r="I63" s="91" t="s">
        <v>56</v>
      </c>
      <c r="J63" s="75">
        <v>5500000</v>
      </c>
      <c r="K63" s="76" t="s">
        <v>10</v>
      </c>
      <c r="L63" s="76" t="s">
        <v>9</v>
      </c>
      <c r="M63" s="103" t="str">
        <f>IF(AND('331-CT'!$E$7=TH!I63,OR(K63="331",L63="331")),"x","")</f>
        <v/>
      </c>
      <c r="N63" s="103" t="str">
        <f>IF(AND($C63&gt;='1111'!$N$10,$C63&lt;='1111'!$O$10,OR($K63=$N$7,$L63=$N$7)),"x","")</f>
        <v/>
      </c>
      <c r="O63" s="103" t="str">
        <f>IF(AND($K63=$N$7,$C63&lt;'1111'!$N$10),"x","")</f>
        <v/>
      </c>
      <c r="P63" s="103" t="str">
        <f>IF(AND($L63=$N$7,$C63&lt;'1111'!$N$10),"x","")</f>
        <v/>
      </c>
      <c r="Q63" s="103" t="str">
        <f>IF(AND($C63&gt;='1121'!$N$9,$C63&lt;='1121'!$O$9,OR($K63=$Q$7,$L63=$Q$7)),"x","")</f>
        <v/>
      </c>
      <c r="R63" s="103" t="str">
        <f>IF(AND($K63=$Q$7,$C63&lt;'1121'!$N$9),"x","")</f>
        <v/>
      </c>
      <c r="S63" s="103" t="str">
        <f>IF(AND($L63=$Q$7,$C63&lt;'1121'!$N$9),"x","")</f>
        <v/>
      </c>
      <c r="T63" s="103" t="str">
        <f>IF(AND($C63&gt;='1331'!$I$9,$C63&lt;='1331'!$J$9,OR($K63=$T$7,$L63=$T$7)),"x","")</f>
        <v>x</v>
      </c>
      <c r="U63" s="103" t="str">
        <f>IF(AND($K63=$T$7,$C63&lt;'1331'!$I$9),"x","")</f>
        <v/>
      </c>
      <c r="V63" s="103" t="str">
        <f>IF(AND($L63=$T$7,$C63&lt;'1331'!$I$9),"x","")</f>
        <v/>
      </c>
      <c r="W63" s="103" t="str">
        <f>IF(AND('3411-CT'!$E$9=TH!I63,OR(TH!K63=TH!$W$7,L63=TH!$W$7)),"x","")</f>
        <v/>
      </c>
      <c r="X63" s="103" t="str">
        <f>IF(OR(TH!K63=TH!$X$7,L63=TH!$X$7),"x","")</f>
        <v/>
      </c>
    </row>
    <row r="64" spans="1:24" s="88" customFormat="1">
      <c r="A64" s="178" t="str">
        <f>IF(E64&lt;&gt;"",IF(AND(B64='IN - TC'!$Q$4,OR(TH!K64="1111",TH!L64="1111")),TH!E64,""),"")</f>
        <v>C08</v>
      </c>
      <c r="B64" s="73">
        <f t="shared" si="8"/>
        <v>2014</v>
      </c>
      <c r="C64" s="73">
        <f t="shared" si="9"/>
        <v>5</v>
      </c>
      <c r="D64" s="86">
        <v>41775</v>
      </c>
      <c r="E64" s="74" t="s">
        <v>83</v>
      </c>
      <c r="F64" s="74">
        <v>41775</v>
      </c>
      <c r="G64" s="77" t="s">
        <v>223</v>
      </c>
      <c r="H64" s="180"/>
      <c r="I64" s="91" t="s">
        <v>184</v>
      </c>
      <c r="J64" s="75">
        <v>33000000</v>
      </c>
      <c r="K64" s="76" t="s">
        <v>23</v>
      </c>
      <c r="L64" s="76" t="s">
        <v>120</v>
      </c>
      <c r="M64" s="103" t="str">
        <f>IF(AND('331-CT'!$E$7=TH!I64,OR(K64="331",L64="331")),"x","")</f>
        <v/>
      </c>
      <c r="N64" s="103" t="str">
        <f>IF(AND($C64&gt;='1111'!$N$10,$C64&lt;='1111'!$O$10,OR($K64=$N$7,$L64=$N$7)),"x","")</f>
        <v/>
      </c>
      <c r="O64" s="103" t="str">
        <f>IF(AND($K64=$N$7,$C64&lt;'1111'!$N$10),"x","")</f>
        <v/>
      </c>
      <c r="P64" s="103" t="str">
        <f>IF(AND($L64=$N$7,$C64&lt;'1111'!$N$10),"x","")</f>
        <v>x</v>
      </c>
      <c r="Q64" s="103" t="str">
        <f>IF(AND($C64&gt;='1121'!$N$9,$C64&lt;='1121'!$O$9,OR($K64=$Q$7,$L64=$Q$7)),"x","")</f>
        <v/>
      </c>
      <c r="R64" s="103" t="str">
        <f>IF(AND($K64=$Q$7,$C64&lt;'1121'!$N$9),"x","")</f>
        <v/>
      </c>
      <c r="S64" s="103" t="str">
        <f>IF(AND($L64=$Q$7,$C64&lt;'1121'!$N$9),"x","")</f>
        <v/>
      </c>
      <c r="T64" s="103" t="str">
        <f>IF(AND($C64&gt;='1331'!$I$9,$C64&lt;='1331'!$J$9,OR($K64=$T$7,$L64=$T$7)),"x","")</f>
        <v/>
      </c>
      <c r="U64" s="103" t="str">
        <f>IF(AND($K64=$T$7,$C64&lt;'1331'!$I$9),"x","")</f>
        <v/>
      </c>
      <c r="V64" s="103" t="str">
        <f>IF(AND($L64=$T$7,$C64&lt;'1331'!$I$9),"x","")</f>
        <v/>
      </c>
      <c r="W64" s="103" t="str">
        <f>IF(AND('3411-CT'!$E$9=TH!I64,OR(TH!K64=TH!$W$7,L64=TH!$W$7)),"x","")</f>
        <v/>
      </c>
      <c r="X64" s="103" t="str">
        <f>IF(OR(TH!K64=TH!$X$7,L64=TH!$X$7),"x","")</f>
        <v/>
      </c>
    </row>
    <row r="65" spans="1:24" s="88" customFormat="1">
      <c r="A65" s="178" t="str">
        <f>IF(E65&lt;&gt;"",IF(AND(B65='IN - TC'!$Q$4,OR(TH!K65="1111",TH!L65="1111")),TH!E65,""),"")</f>
        <v/>
      </c>
      <c r="B65" s="73">
        <f t="shared" si="8"/>
        <v>2014</v>
      </c>
      <c r="C65" s="73">
        <f t="shared" si="9"/>
        <v>5</v>
      </c>
      <c r="D65" s="86">
        <v>41775</v>
      </c>
      <c r="E65" s="74" t="s">
        <v>11</v>
      </c>
      <c r="F65" s="74">
        <v>41775</v>
      </c>
      <c r="G65" s="77" t="s">
        <v>27</v>
      </c>
      <c r="H65" s="180"/>
      <c r="I65" s="91" t="s">
        <v>184</v>
      </c>
      <c r="J65" s="75">
        <v>33000000</v>
      </c>
      <c r="K65" s="78" t="s">
        <v>34</v>
      </c>
      <c r="L65" s="76" t="s">
        <v>23</v>
      </c>
      <c r="M65" s="103" t="str">
        <f>IF(AND('331-CT'!$E$7=TH!I65,OR(K65="331",L65="331")),"x","")</f>
        <v/>
      </c>
      <c r="N65" s="103" t="str">
        <f>IF(AND($C65&gt;='1111'!$N$10,$C65&lt;='1111'!$O$10,OR($K65=$N$7,$L65=$N$7)),"x","")</f>
        <v/>
      </c>
      <c r="O65" s="103" t="str">
        <f>IF(AND($K65=$N$7,$C65&lt;'1111'!$N$10),"x","")</f>
        <v/>
      </c>
      <c r="P65" s="103" t="str">
        <f>IF(AND($L65=$N$7,$C65&lt;'1111'!$N$10),"x","")</f>
        <v/>
      </c>
      <c r="Q65" s="103" t="str">
        <f>IF(AND($C65&gt;='1121'!$N$9,$C65&lt;='1121'!$O$9,OR($K65=$Q$7,$L65=$Q$7)),"x","")</f>
        <v/>
      </c>
      <c r="R65" s="103" t="str">
        <f>IF(AND($K65=$Q$7,$C65&lt;'1121'!$N$9),"x","")</f>
        <v>x</v>
      </c>
      <c r="S65" s="103" t="str">
        <f>IF(AND($L65=$Q$7,$C65&lt;'1121'!$N$9),"x","")</f>
        <v/>
      </c>
      <c r="T65" s="103" t="str">
        <f>IF(AND($C65&gt;='1331'!$I$9,$C65&lt;='1331'!$J$9,OR($K65=$T$7,$L65=$T$7)),"x","")</f>
        <v/>
      </c>
      <c r="U65" s="103" t="str">
        <f>IF(AND($K65=$T$7,$C65&lt;'1331'!$I$9),"x","")</f>
        <v/>
      </c>
      <c r="V65" s="103" t="str">
        <f>IF(AND($L65=$T$7,$C65&lt;'1331'!$I$9),"x","")</f>
        <v/>
      </c>
      <c r="W65" s="103" t="str">
        <f>IF(AND('3411-CT'!$E$9=TH!I65,OR(TH!K65=TH!$W$7,L65=TH!$W$7)),"x","")</f>
        <v/>
      </c>
      <c r="X65" s="103" t="str">
        <f>IF(OR(TH!K65=TH!$X$7,L65=TH!$X$7),"x","")</f>
        <v/>
      </c>
    </row>
    <row r="66" spans="1:24" s="88" customFormat="1">
      <c r="A66" s="178" t="str">
        <f>IF(E66&lt;&gt;"",IF(AND(B66='IN - TC'!$Q$4,OR(TH!K66="1111",TH!L66="1111")),TH!E66,""),"")</f>
        <v/>
      </c>
      <c r="B66" s="73">
        <f t="shared" si="8"/>
        <v>2014</v>
      </c>
      <c r="C66" s="73">
        <f t="shared" si="9"/>
        <v>5</v>
      </c>
      <c r="D66" s="74">
        <v>41775</v>
      </c>
      <c r="E66" s="74" t="s">
        <v>8</v>
      </c>
      <c r="F66" s="74">
        <v>41775</v>
      </c>
      <c r="G66" s="77" t="s">
        <v>359</v>
      </c>
      <c r="H66" s="180"/>
      <c r="I66" s="91" t="s">
        <v>56</v>
      </c>
      <c r="J66" s="75">
        <v>33000000</v>
      </c>
      <c r="K66" s="76" t="s">
        <v>129</v>
      </c>
      <c r="L66" s="76" t="s">
        <v>34</v>
      </c>
      <c r="M66" s="103" t="str">
        <f>IF(AND('331-CT'!$E$7=TH!I66,OR(K66="331",L66="331")),"x","")</f>
        <v/>
      </c>
      <c r="N66" s="103" t="str">
        <f>IF(AND($C66&gt;='1111'!$N$10,$C66&lt;='1111'!$O$10,OR($K66=$N$7,$L66=$N$7)),"x","")</f>
        <v/>
      </c>
      <c r="O66" s="103" t="str">
        <f>IF(AND($K66=$N$7,$C66&lt;'1111'!$N$10),"x","")</f>
        <v/>
      </c>
      <c r="P66" s="103" t="str">
        <f>IF(AND($L66=$N$7,$C66&lt;'1111'!$N$10),"x","")</f>
        <v/>
      </c>
      <c r="Q66" s="103" t="str">
        <f>IF(AND($C66&gt;='1121'!$N$9,$C66&lt;='1121'!$O$9,OR($K66=$Q$7,$L66=$Q$7)),"x","")</f>
        <v/>
      </c>
      <c r="R66" s="103" t="str">
        <f>IF(AND($K66=$Q$7,$C66&lt;'1121'!$N$9),"x","")</f>
        <v/>
      </c>
      <c r="S66" s="103" t="str">
        <f>IF(AND($L66=$Q$7,$C66&lt;'1121'!$N$9),"x","")</f>
        <v>x</v>
      </c>
      <c r="T66" s="103" t="str">
        <f>IF(AND($C66&gt;='1331'!$I$9,$C66&lt;='1331'!$J$9,OR($K66=$T$7,$L66=$T$7)),"x","")</f>
        <v/>
      </c>
      <c r="U66" s="103" t="str">
        <f>IF(AND($K66=$T$7,$C66&lt;'1331'!$I$9),"x","")</f>
        <v/>
      </c>
      <c r="V66" s="103" t="str">
        <f>IF(AND($L66=$T$7,$C66&lt;'1331'!$I$9),"x","")</f>
        <v/>
      </c>
      <c r="W66" s="103" t="str">
        <f>IF(AND('3411-CT'!$E$9=TH!I66,OR(TH!K66=TH!$W$7,L66=TH!$W$7)),"x","")</f>
        <v/>
      </c>
      <c r="X66" s="103" t="str">
        <f>IF(OR(TH!K66=TH!$X$7,L66=TH!$X$7),"x","")</f>
        <v/>
      </c>
    </row>
    <row r="67" spans="1:24" s="88" customFormat="1">
      <c r="A67" s="178" t="str">
        <f>IF(E67&lt;&gt;"",IF(AND(B67='IN - TC'!$Q$4,OR(TH!K67="1111",TH!L67="1111")),TH!E67,""),"")</f>
        <v/>
      </c>
      <c r="B67" s="73">
        <f t="shared" si="8"/>
        <v>2014</v>
      </c>
      <c r="C67" s="73">
        <f t="shared" si="9"/>
        <v>5</v>
      </c>
      <c r="D67" s="74">
        <v>41775</v>
      </c>
      <c r="E67" s="74" t="s">
        <v>8</v>
      </c>
      <c r="F67" s="74">
        <v>41775</v>
      </c>
      <c r="G67" s="77" t="s">
        <v>21</v>
      </c>
      <c r="H67" s="180"/>
      <c r="I67" s="91"/>
      <c r="J67" s="75">
        <v>25000</v>
      </c>
      <c r="K67" s="76" t="s">
        <v>159</v>
      </c>
      <c r="L67" s="76" t="s">
        <v>34</v>
      </c>
      <c r="M67" s="103" t="str">
        <f>IF(AND('331-CT'!$E$7=TH!I67,OR(K67="331",L67="331")),"x","")</f>
        <v/>
      </c>
      <c r="N67" s="103" t="str">
        <f>IF(AND($C67&gt;='1111'!$N$10,$C67&lt;='1111'!$O$10,OR($K67=$N$7,$L67=$N$7)),"x","")</f>
        <v/>
      </c>
      <c r="O67" s="103" t="str">
        <f>IF(AND($K67=$N$7,$C67&lt;'1111'!$N$10),"x","")</f>
        <v/>
      </c>
      <c r="P67" s="103" t="str">
        <f>IF(AND($L67=$N$7,$C67&lt;'1111'!$N$10),"x","")</f>
        <v/>
      </c>
      <c r="Q67" s="103" t="str">
        <f>IF(AND($C67&gt;='1121'!$N$9,$C67&lt;='1121'!$O$9,OR($K67=$Q$7,$L67=$Q$7)),"x","")</f>
        <v/>
      </c>
      <c r="R67" s="103" t="str">
        <f>IF(AND($K67=$Q$7,$C67&lt;'1121'!$N$9),"x","")</f>
        <v/>
      </c>
      <c r="S67" s="103" t="str">
        <f>IF(AND($L67=$Q$7,$C67&lt;'1121'!$N$9),"x","")</f>
        <v>x</v>
      </c>
      <c r="T67" s="103" t="str">
        <f>IF(AND($C67&gt;='1331'!$I$9,$C67&lt;='1331'!$J$9,OR($K67=$T$7,$L67=$T$7)),"x","")</f>
        <v/>
      </c>
      <c r="U67" s="103" t="str">
        <f>IF(AND($K67=$T$7,$C67&lt;'1331'!$I$9),"x","")</f>
        <v/>
      </c>
      <c r="V67" s="103" t="str">
        <f>IF(AND($L67=$T$7,$C67&lt;'1331'!$I$9),"x","")</f>
        <v/>
      </c>
      <c r="W67" s="103" t="str">
        <f>IF(AND('3411-CT'!$E$9=TH!I67,OR(TH!K67=TH!$W$7,L67=TH!$W$7)),"x","")</f>
        <v/>
      </c>
      <c r="X67" s="103" t="str">
        <f>IF(OR(TH!K67=TH!$X$7,L67=TH!$X$7),"x","")</f>
        <v/>
      </c>
    </row>
    <row r="68" spans="1:24" s="88" customFormat="1">
      <c r="A68" s="178" t="str">
        <f>IF(E68&lt;&gt;"",IF(AND(B68='IN - TC'!$Q$4,OR(TH!K68="1111",TH!L68="1111")),TH!E68,""),"")</f>
        <v/>
      </c>
      <c r="B68" s="73">
        <f t="shared" si="8"/>
        <v>2014</v>
      </c>
      <c r="C68" s="73">
        <f t="shared" si="9"/>
        <v>5</v>
      </c>
      <c r="D68" s="86">
        <v>41775</v>
      </c>
      <c r="E68" s="74" t="s">
        <v>8</v>
      </c>
      <c r="F68" s="74">
        <v>41775</v>
      </c>
      <c r="G68" s="77" t="s">
        <v>22</v>
      </c>
      <c r="H68" s="180"/>
      <c r="I68" s="91"/>
      <c r="J68" s="75">
        <v>2500</v>
      </c>
      <c r="K68" s="78" t="s">
        <v>10</v>
      </c>
      <c r="L68" s="76" t="s">
        <v>34</v>
      </c>
      <c r="M68" s="103" t="str">
        <f>IF(AND('331-CT'!$E$7=TH!I68,OR(K68="331",L68="331")),"x","")</f>
        <v/>
      </c>
      <c r="N68" s="103" t="str">
        <f>IF(AND($C68&gt;='1111'!$N$10,$C68&lt;='1111'!$O$10,OR($K68=$N$7,$L68=$N$7)),"x","")</f>
        <v/>
      </c>
      <c r="O68" s="103" t="str">
        <f>IF(AND($K68=$N$7,$C68&lt;'1111'!$N$10),"x","")</f>
        <v/>
      </c>
      <c r="P68" s="103" t="str">
        <f>IF(AND($L68=$N$7,$C68&lt;'1111'!$N$10),"x","")</f>
        <v/>
      </c>
      <c r="Q68" s="103" t="str">
        <f>IF(AND($C68&gt;='1121'!$N$9,$C68&lt;='1121'!$O$9,OR($K68=$Q$7,$L68=$Q$7)),"x","")</f>
        <v/>
      </c>
      <c r="R68" s="103" t="str">
        <f>IF(AND($K68=$Q$7,$C68&lt;'1121'!$N$9),"x","")</f>
        <v/>
      </c>
      <c r="S68" s="103" t="str">
        <f>IF(AND($L68=$Q$7,$C68&lt;'1121'!$N$9),"x","")</f>
        <v>x</v>
      </c>
      <c r="T68" s="103" t="str">
        <f>IF(AND($C68&gt;='1331'!$I$9,$C68&lt;='1331'!$J$9,OR($K68=$T$7,$L68=$T$7)),"x","")</f>
        <v>x</v>
      </c>
      <c r="U68" s="103" t="str">
        <f>IF(AND($K68=$T$7,$C68&lt;'1331'!$I$9),"x","")</f>
        <v/>
      </c>
      <c r="V68" s="103" t="str">
        <f>IF(AND($L68=$T$7,$C68&lt;'1331'!$I$9),"x","")</f>
        <v/>
      </c>
      <c r="W68" s="103" t="str">
        <f>IF(AND('3411-CT'!$E$9=TH!I68,OR(TH!K68=TH!$W$7,L68=TH!$W$7)),"x","")</f>
        <v/>
      </c>
      <c r="X68" s="103" t="str">
        <f>IF(OR(TH!K68=TH!$X$7,L68=TH!$X$7),"x","")</f>
        <v/>
      </c>
    </row>
    <row r="69" spans="1:24" s="88" customFormat="1">
      <c r="A69" s="178" t="str">
        <f>IF(E69&lt;&gt;"",IF(AND(B69='IN - TC'!$Q$4,OR(TH!K69="1111",TH!L69="1111")),TH!E69,""),"")</f>
        <v>C09</v>
      </c>
      <c r="B69" s="73">
        <f t="shared" si="8"/>
        <v>2014</v>
      </c>
      <c r="C69" s="73">
        <f t="shared" si="9"/>
        <v>5</v>
      </c>
      <c r="D69" s="86">
        <v>41779</v>
      </c>
      <c r="E69" s="74" t="s">
        <v>90</v>
      </c>
      <c r="F69" s="74">
        <v>41779</v>
      </c>
      <c r="G69" s="77" t="s">
        <v>222</v>
      </c>
      <c r="H69" s="180"/>
      <c r="I69" s="91" t="s">
        <v>186</v>
      </c>
      <c r="J69" s="75">
        <v>36500000</v>
      </c>
      <c r="K69" s="78" t="s">
        <v>34</v>
      </c>
      <c r="L69" s="76" t="s">
        <v>120</v>
      </c>
      <c r="M69" s="103" t="str">
        <f>IF(AND('331-CT'!$E$7=TH!I69,OR(K69="331",L69="331")),"x","")</f>
        <v/>
      </c>
      <c r="N69" s="103" t="str">
        <f>IF(AND($C69&gt;='1111'!$N$10,$C69&lt;='1111'!$O$10,OR($K69=$N$7,$L69=$N$7)),"x","")</f>
        <v/>
      </c>
      <c r="O69" s="103" t="str">
        <f>IF(AND($K69=$N$7,$C69&lt;'1111'!$N$10),"x","")</f>
        <v/>
      </c>
      <c r="P69" s="103" t="str">
        <f>IF(AND($L69=$N$7,$C69&lt;'1111'!$N$10),"x","")</f>
        <v>x</v>
      </c>
      <c r="Q69" s="103" t="str">
        <f>IF(AND($C69&gt;='1121'!$N$9,$C69&lt;='1121'!$O$9,OR($K69=$Q$7,$L69=$Q$7)),"x","")</f>
        <v/>
      </c>
      <c r="R69" s="103" t="str">
        <f>IF(AND($K69=$Q$7,$C69&lt;'1121'!$N$9),"x","")</f>
        <v>x</v>
      </c>
      <c r="S69" s="103" t="str">
        <f>IF(AND($L69=$Q$7,$C69&lt;'1121'!$N$9),"x","")</f>
        <v/>
      </c>
      <c r="T69" s="103" t="str">
        <f>IF(AND($C69&gt;='1331'!$I$9,$C69&lt;='1331'!$J$9,OR($K69=$T$7,$L69=$T$7)),"x","")</f>
        <v/>
      </c>
      <c r="U69" s="103" t="str">
        <f>IF(AND($K69=$T$7,$C69&lt;'1331'!$I$9),"x","")</f>
        <v/>
      </c>
      <c r="V69" s="103" t="str">
        <f>IF(AND($L69=$T$7,$C69&lt;'1331'!$I$9),"x","")</f>
        <v/>
      </c>
      <c r="W69" s="103" t="str">
        <f>IF(AND('3411-CT'!$E$9=TH!I69,OR(TH!K69=TH!$W$7,L69=TH!$W$7)),"x","")</f>
        <v/>
      </c>
      <c r="X69" s="103" t="str">
        <f>IF(OR(TH!K69=TH!$X$7,L69=TH!$X$7),"x","")</f>
        <v/>
      </c>
    </row>
    <row r="70" spans="1:24" s="88" customFormat="1">
      <c r="A70" s="178" t="str">
        <f>IF(E70&lt;&gt;"",IF(AND(B70='IN - TC'!$Q$4,OR(TH!K70="1111",TH!L70="1111")),TH!E70,""),"")</f>
        <v/>
      </c>
      <c r="B70" s="73">
        <f t="shared" si="8"/>
        <v>2014</v>
      </c>
      <c r="C70" s="73">
        <f t="shared" si="9"/>
        <v>5</v>
      </c>
      <c r="D70" s="74">
        <v>41779</v>
      </c>
      <c r="E70" s="74" t="s">
        <v>11</v>
      </c>
      <c r="F70" s="74">
        <v>41779</v>
      </c>
      <c r="G70" s="77" t="s">
        <v>359</v>
      </c>
      <c r="H70" s="180"/>
      <c r="I70" s="91" t="s">
        <v>56</v>
      </c>
      <c r="J70" s="75">
        <v>33000000</v>
      </c>
      <c r="K70" s="76" t="s">
        <v>34</v>
      </c>
      <c r="L70" s="76" t="s">
        <v>129</v>
      </c>
      <c r="M70" s="103" t="str">
        <f>IF(AND('331-CT'!$E$7=TH!I70,OR(K70="331",L70="331")),"x","")</f>
        <v/>
      </c>
      <c r="N70" s="103" t="str">
        <f>IF(AND($C70&gt;='1111'!$N$10,$C70&lt;='1111'!$O$10,OR($K70=$N$7,$L70=$N$7)),"x","")</f>
        <v/>
      </c>
      <c r="O70" s="103" t="str">
        <f>IF(AND($K70=$N$7,$C70&lt;'1111'!$N$10),"x","")</f>
        <v/>
      </c>
      <c r="P70" s="103" t="str">
        <f>IF(AND($L70=$N$7,$C70&lt;'1111'!$N$10),"x","")</f>
        <v/>
      </c>
      <c r="Q70" s="103" t="str">
        <f>IF(AND($C70&gt;='1121'!$N$9,$C70&lt;='1121'!$O$9,OR($K70=$Q$7,$L70=$Q$7)),"x","")</f>
        <v/>
      </c>
      <c r="R70" s="103" t="str">
        <f>IF(AND($K70=$Q$7,$C70&lt;'1121'!$N$9),"x","")</f>
        <v>x</v>
      </c>
      <c r="S70" s="103" t="str">
        <f>IF(AND($L70=$Q$7,$C70&lt;'1121'!$N$9),"x","")</f>
        <v/>
      </c>
      <c r="T70" s="103" t="str">
        <f>IF(AND($C70&gt;='1331'!$I$9,$C70&lt;='1331'!$J$9,OR($K70=$T$7,$L70=$T$7)),"x","")</f>
        <v/>
      </c>
      <c r="U70" s="103" t="str">
        <f>IF(AND($K70=$T$7,$C70&lt;'1331'!$I$9),"x","")</f>
        <v/>
      </c>
      <c r="V70" s="103" t="str">
        <f>IF(AND($L70=$T$7,$C70&lt;'1331'!$I$9),"x","")</f>
        <v/>
      </c>
      <c r="W70" s="103" t="str">
        <f>IF(AND('3411-CT'!$E$9=TH!I70,OR(TH!K70=TH!$W$7,L70=TH!$W$7)),"x","")</f>
        <v/>
      </c>
      <c r="X70" s="103" t="str">
        <f>IF(OR(TH!K70=TH!$X$7,L70=TH!$X$7),"x","")</f>
        <v/>
      </c>
    </row>
    <row r="71" spans="1:24" s="88" customFormat="1">
      <c r="A71" s="178" t="str">
        <f>IF(E71&lt;&gt;"",IF(AND(B71='IN - TC'!$Q$4,OR(TH!K71="1111",TH!L71="1111")),TH!E71,""),"")</f>
        <v/>
      </c>
      <c r="B71" s="73">
        <f t="shared" si="8"/>
        <v>2014</v>
      </c>
      <c r="C71" s="73">
        <f t="shared" si="9"/>
        <v>5</v>
      </c>
      <c r="D71" s="74">
        <v>41779</v>
      </c>
      <c r="E71" s="74" t="s">
        <v>8</v>
      </c>
      <c r="F71" s="74">
        <v>41779</v>
      </c>
      <c r="G71" s="77" t="s">
        <v>336</v>
      </c>
      <c r="H71" s="180"/>
      <c r="I71" s="91" t="s">
        <v>56</v>
      </c>
      <c r="J71" s="75">
        <v>33000000</v>
      </c>
      <c r="K71" s="76" t="s">
        <v>9</v>
      </c>
      <c r="L71" s="76" t="s">
        <v>34</v>
      </c>
      <c r="M71" s="103" t="str">
        <f>IF(AND('331-CT'!$E$7=TH!I71,OR(K71="331",L71="331")),"x","")</f>
        <v/>
      </c>
      <c r="N71" s="103" t="str">
        <f>IF(AND($C71&gt;='1111'!$N$10,$C71&lt;='1111'!$O$10,OR($K71=$N$7,$L71=$N$7)),"x","")</f>
        <v/>
      </c>
      <c r="O71" s="103" t="str">
        <f>IF(AND($K71=$N$7,$C71&lt;'1111'!$N$10),"x","")</f>
        <v/>
      </c>
      <c r="P71" s="103" t="str">
        <f>IF(AND($L71=$N$7,$C71&lt;'1111'!$N$10),"x","")</f>
        <v/>
      </c>
      <c r="Q71" s="103" t="str">
        <f>IF(AND($C71&gt;='1121'!$N$9,$C71&lt;='1121'!$O$9,OR($K71=$Q$7,$L71=$Q$7)),"x","")</f>
        <v/>
      </c>
      <c r="R71" s="103" t="str">
        <f>IF(AND($K71=$Q$7,$C71&lt;'1121'!$N$9),"x","")</f>
        <v/>
      </c>
      <c r="S71" s="103" t="str">
        <f>IF(AND($L71=$Q$7,$C71&lt;'1121'!$N$9),"x","")</f>
        <v>x</v>
      </c>
      <c r="T71" s="103" t="str">
        <f>IF(AND($C71&gt;='1331'!$I$9,$C71&lt;='1331'!$J$9,OR($K71=$T$7,$L71=$T$7)),"x","")</f>
        <v/>
      </c>
      <c r="U71" s="103" t="str">
        <f>IF(AND($K71=$T$7,$C71&lt;'1331'!$I$9),"x","")</f>
        <v/>
      </c>
      <c r="V71" s="103" t="str">
        <f>IF(AND($L71=$T$7,$C71&lt;'1331'!$I$9),"x","")</f>
        <v/>
      </c>
      <c r="W71" s="103" t="str">
        <f>IF(AND('3411-CT'!$E$9=TH!I71,OR(TH!K71=TH!$W$7,L71=TH!$W$7)),"x","")</f>
        <v/>
      </c>
      <c r="X71" s="103" t="str">
        <f>IF(OR(TH!K71=TH!$X$7,L71=TH!$X$7),"x","")</f>
        <v/>
      </c>
    </row>
    <row r="72" spans="1:24" s="88" customFormat="1">
      <c r="A72" s="178" t="str">
        <f>IF(E72&lt;&gt;"",IF(AND(B72='IN - TC'!$Q$4,OR(TH!K72="1111",TH!L72="1111")),TH!E72,""),"")</f>
        <v/>
      </c>
      <c r="B72" s="73">
        <f t="shared" si="8"/>
        <v>2014</v>
      </c>
      <c r="C72" s="73">
        <f t="shared" si="9"/>
        <v>5</v>
      </c>
      <c r="D72" s="74">
        <v>41779</v>
      </c>
      <c r="E72" s="74" t="s">
        <v>8</v>
      </c>
      <c r="F72" s="74">
        <v>41779</v>
      </c>
      <c r="G72" s="77" t="s">
        <v>21</v>
      </c>
      <c r="H72" s="182"/>
      <c r="I72" s="91"/>
      <c r="J72" s="75">
        <v>25000</v>
      </c>
      <c r="K72" s="76" t="s">
        <v>159</v>
      </c>
      <c r="L72" s="76" t="s">
        <v>34</v>
      </c>
      <c r="M72" s="103" t="str">
        <f>IF(AND('331-CT'!$E$7=TH!I72,OR(K72="331",L72="331")),"x","")</f>
        <v/>
      </c>
      <c r="N72" s="103" t="str">
        <f>IF(AND($C72&gt;='1111'!$N$10,$C72&lt;='1111'!$O$10,OR($K72=$N$7,$L72=$N$7)),"x","")</f>
        <v/>
      </c>
      <c r="O72" s="103" t="str">
        <f>IF(AND($K72=$N$7,$C72&lt;'1111'!$N$10),"x","")</f>
        <v/>
      </c>
      <c r="P72" s="103" t="str">
        <f>IF(AND($L72=$N$7,$C72&lt;'1111'!$N$10),"x","")</f>
        <v/>
      </c>
      <c r="Q72" s="103" t="str">
        <f>IF(AND($C72&gt;='1121'!$N$9,$C72&lt;='1121'!$O$9,OR($K72=$Q$7,$L72=$Q$7)),"x","")</f>
        <v/>
      </c>
      <c r="R72" s="103" t="str">
        <f>IF(AND($K72=$Q$7,$C72&lt;'1121'!$N$9),"x","")</f>
        <v/>
      </c>
      <c r="S72" s="103" t="str">
        <f>IF(AND($L72=$Q$7,$C72&lt;'1121'!$N$9),"x","")</f>
        <v>x</v>
      </c>
      <c r="T72" s="103" t="str">
        <f>IF(AND($C72&gt;='1331'!$I$9,$C72&lt;='1331'!$J$9,OR($K72=$T$7,$L72=$T$7)),"x","")</f>
        <v/>
      </c>
      <c r="U72" s="103" t="str">
        <f>IF(AND($K72=$T$7,$C72&lt;'1331'!$I$9),"x","")</f>
        <v/>
      </c>
      <c r="V72" s="103" t="str">
        <f>IF(AND($L72=$T$7,$C72&lt;'1331'!$I$9),"x","")</f>
        <v/>
      </c>
      <c r="W72" s="103" t="str">
        <f>IF(AND('3411-CT'!$E$9=TH!I72,OR(TH!K72=TH!$W$7,L72=TH!$W$7)),"x","")</f>
        <v/>
      </c>
      <c r="X72" s="103" t="str">
        <f>IF(OR(TH!K72=TH!$X$7,L72=TH!$X$7),"x","")</f>
        <v/>
      </c>
    </row>
    <row r="73" spans="1:24" s="88" customFormat="1">
      <c r="A73" s="178" t="str">
        <f>IF(E73&lt;&gt;"",IF(AND(B73='IN - TC'!$Q$4,OR(TH!K73="1111",TH!L73="1111")),TH!E73,""),"")</f>
        <v/>
      </c>
      <c r="B73" s="73">
        <f t="shared" si="8"/>
        <v>2014</v>
      </c>
      <c r="C73" s="73">
        <f t="shared" si="9"/>
        <v>5</v>
      </c>
      <c r="D73" s="74">
        <v>41779</v>
      </c>
      <c r="E73" s="74" t="s">
        <v>8</v>
      </c>
      <c r="F73" s="74">
        <v>41779</v>
      </c>
      <c r="G73" s="77" t="s">
        <v>22</v>
      </c>
      <c r="H73" s="182"/>
      <c r="I73" s="91"/>
      <c r="J73" s="75">
        <v>2500</v>
      </c>
      <c r="K73" s="76" t="s">
        <v>10</v>
      </c>
      <c r="L73" s="76" t="s">
        <v>34</v>
      </c>
      <c r="M73" s="103" t="str">
        <f>IF(AND('331-CT'!$E$7=TH!I73,OR(K73="331",L73="331")),"x","")</f>
        <v/>
      </c>
      <c r="N73" s="103" t="str">
        <f>IF(AND($C73&gt;='1111'!$N$10,$C73&lt;='1111'!$O$10,OR($K73=$N$7,$L73=$N$7)),"x","")</f>
        <v/>
      </c>
      <c r="O73" s="103" t="str">
        <f>IF(AND($K73=$N$7,$C73&lt;'1111'!$N$10),"x","")</f>
        <v/>
      </c>
      <c r="P73" s="103" t="str">
        <f>IF(AND($L73=$N$7,$C73&lt;'1111'!$N$10),"x","")</f>
        <v/>
      </c>
      <c r="Q73" s="103" t="str">
        <f>IF(AND($C73&gt;='1121'!$N$9,$C73&lt;='1121'!$O$9,OR($K73=$Q$7,$L73=$Q$7)),"x","")</f>
        <v/>
      </c>
      <c r="R73" s="103" t="str">
        <f>IF(AND($K73=$Q$7,$C73&lt;'1121'!$N$9),"x","")</f>
        <v/>
      </c>
      <c r="S73" s="103" t="str">
        <f>IF(AND($L73=$Q$7,$C73&lt;'1121'!$N$9),"x","")</f>
        <v>x</v>
      </c>
      <c r="T73" s="103" t="str">
        <f>IF(AND($C73&gt;='1331'!$I$9,$C73&lt;='1331'!$J$9,OR($K73=$T$7,$L73=$T$7)),"x","")</f>
        <v>x</v>
      </c>
      <c r="U73" s="103" t="str">
        <f>IF(AND($K73=$T$7,$C73&lt;'1331'!$I$9),"x","")</f>
        <v/>
      </c>
      <c r="V73" s="103" t="str">
        <f>IF(AND($L73=$T$7,$C73&lt;'1331'!$I$9),"x","")</f>
        <v/>
      </c>
      <c r="W73" s="103" t="str">
        <f>IF(AND('3411-CT'!$E$9=TH!I73,OR(TH!K73=TH!$W$7,L73=TH!$W$7)),"x","")</f>
        <v/>
      </c>
      <c r="X73" s="103" t="str">
        <f>IF(OR(TH!K73=TH!$X$7,L73=TH!$X$7),"x","")</f>
        <v/>
      </c>
    </row>
    <row r="74" spans="1:24" s="88" customFormat="1">
      <c r="A74" s="178" t="str">
        <f>IF(E74&lt;&gt;"",IF(AND(B74='IN - TC'!$Q$4,OR(TH!K74="1111",TH!L74="1111")),TH!E74,""),"")</f>
        <v/>
      </c>
      <c r="B74" s="73">
        <f t="shared" si="8"/>
        <v>2014</v>
      </c>
      <c r="C74" s="73">
        <f t="shared" si="9"/>
        <v>5</v>
      </c>
      <c r="D74" s="86">
        <v>41780</v>
      </c>
      <c r="E74" s="74" t="s">
        <v>8</v>
      </c>
      <c r="F74" s="74">
        <v>41780</v>
      </c>
      <c r="G74" s="77" t="s">
        <v>349</v>
      </c>
      <c r="H74" s="180"/>
      <c r="I74" s="91" t="s">
        <v>54</v>
      </c>
      <c r="J74" s="75">
        <v>36432000</v>
      </c>
      <c r="K74" s="78" t="s">
        <v>9</v>
      </c>
      <c r="L74" s="76" t="s">
        <v>34</v>
      </c>
      <c r="M74" s="103" t="str">
        <f>IF(AND('331-CT'!$E$7=TH!I74,OR(K74="331",L74="331")),"x","")</f>
        <v/>
      </c>
      <c r="N74" s="103" t="str">
        <f>IF(AND($C74&gt;='1111'!$N$10,$C74&lt;='1111'!$O$10,OR($K74=$N$7,$L74=$N$7)),"x","")</f>
        <v/>
      </c>
      <c r="O74" s="103" t="str">
        <f>IF(AND($K74=$N$7,$C74&lt;'1111'!$N$10),"x","")</f>
        <v/>
      </c>
      <c r="P74" s="103" t="str">
        <f>IF(AND($L74=$N$7,$C74&lt;'1111'!$N$10),"x","")</f>
        <v/>
      </c>
      <c r="Q74" s="103" t="str">
        <f>IF(AND($C74&gt;='1121'!$N$9,$C74&lt;='1121'!$O$9,OR($K74=$Q$7,$L74=$Q$7)),"x","")</f>
        <v/>
      </c>
      <c r="R74" s="103" t="str">
        <f>IF(AND($K74=$Q$7,$C74&lt;'1121'!$N$9),"x","")</f>
        <v/>
      </c>
      <c r="S74" s="103" t="str">
        <f>IF(AND($L74=$Q$7,$C74&lt;'1121'!$N$9),"x","")</f>
        <v>x</v>
      </c>
      <c r="T74" s="103" t="str">
        <f>IF(AND($C74&gt;='1331'!$I$9,$C74&lt;='1331'!$J$9,OR($K74=$T$7,$L74=$T$7)),"x","")</f>
        <v/>
      </c>
      <c r="U74" s="103" t="str">
        <f>IF(AND($K74=$T$7,$C74&lt;'1331'!$I$9),"x","")</f>
        <v/>
      </c>
      <c r="V74" s="103" t="str">
        <f>IF(AND($L74=$T$7,$C74&lt;'1331'!$I$9),"x","")</f>
        <v/>
      </c>
      <c r="W74" s="103" t="str">
        <f>IF(AND('3411-CT'!$E$9=TH!I74,OR(TH!K74=TH!$W$7,L74=TH!$W$7)),"x","")</f>
        <v/>
      </c>
      <c r="X74" s="103" t="str">
        <f>IF(OR(TH!K74=TH!$X$7,L74=TH!$X$7),"x","")</f>
        <v/>
      </c>
    </row>
    <row r="75" spans="1:24" s="88" customFormat="1">
      <c r="A75" s="178" t="str">
        <f>IF(E75&lt;&gt;"",IF(AND(B75='IN - TC'!$Q$4,OR(TH!K75="1111",TH!L75="1111")),TH!E75,""),"")</f>
        <v/>
      </c>
      <c r="B75" s="73">
        <f t="shared" si="8"/>
        <v>2014</v>
      </c>
      <c r="C75" s="73">
        <f t="shared" si="9"/>
        <v>5</v>
      </c>
      <c r="D75" s="74">
        <v>41780</v>
      </c>
      <c r="E75" s="74" t="s">
        <v>8</v>
      </c>
      <c r="F75" s="74">
        <v>41780</v>
      </c>
      <c r="G75" s="77" t="s">
        <v>21</v>
      </c>
      <c r="H75" s="180"/>
      <c r="I75" s="91"/>
      <c r="J75" s="75">
        <v>45000</v>
      </c>
      <c r="K75" s="76" t="s">
        <v>159</v>
      </c>
      <c r="L75" s="76" t="s">
        <v>34</v>
      </c>
      <c r="M75" s="103" t="str">
        <f>IF(AND('331-CT'!$E$7=TH!I75,OR(K75="331",L75="331")),"x","")</f>
        <v/>
      </c>
      <c r="N75" s="103" t="str">
        <f>IF(AND($C75&gt;='1111'!$N$10,$C75&lt;='1111'!$O$10,OR($K75=$N$7,$L75=$N$7)),"x","")</f>
        <v/>
      </c>
      <c r="O75" s="103" t="str">
        <f>IF(AND($K75=$N$7,$C75&lt;'1111'!$N$10),"x","")</f>
        <v/>
      </c>
      <c r="P75" s="103" t="str">
        <f>IF(AND($L75=$N$7,$C75&lt;'1111'!$N$10),"x","")</f>
        <v/>
      </c>
      <c r="Q75" s="103" t="str">
        <f>IF(AND($C75&gt;='1121'!$N$9,$C75&lt;='1121'!$O$9,OR($K75=$Q$7,$L75=$Q$7)),"x","")</f>
        <v/>
      </c>
      <c r="R75" s="103" t="str">
        <f>IF(AND($K75=$Q$7,$C75&lt;'1121'!$N$9),"x","")</f>
        <v/>
      </c>
      <c r="S75" s="103" t="str">
        <f>IF(AND($L75=$Q$7,$C75&lt;'1121'!$N$9),"x","")</f>
        <v>x</v>
      </c>
      <c r="T75" s="103" t="str">
        <f>IF(AND($C75&gt;='1331'!$I$9,$C75&lt;='1331'!$J$9,OR($K75=$T$7,$L75=$T$7)),"x","")</f>
        <v/>
      </c>
      <c r="U75" s="103" t="str">
        <f>IF(AND($K75=$T$7,$C75&lt;'1331'!$I$9),"x","")</f>
        <v/>
      </c>
      <c r="V75" s="103" t="str">
        <f>IF(AND($L75=$T$7,$C75&lt;'1331'!$I$9),"x","")</f>
        <v/>
      </c>
      <c r="W75" s="103" t="str">
        <f>IF(AND('3411-CT'!$E$9=TH!I75,OR(TH!K75=TH!$W$7,L75=TH!$W$7)),"x","")</f>
        <v/>
      </c>
      <c r="X75" s="103" t="str">
        <f>IF(OR(TH!K75=TH!$X$7,L75=TH!$X$7),"x","")</f>
        <v/>
      </c>
    </row>
    <row r="76" spans="1:24" s="88" customFormat="1">
      <c r="A76" s="178" t="str">
        <f>IF(E76&lt;&gt;"",IF(AND(B76='IN - TC'!$Q$4,OR(TH!K76="1111",TH!L76="1111")),TH!E76,""),"")</f>
        <v/>
      </c>
      <c r="B76" s="73">
        <f t="shared" si="8"/>
        <v>2014</v>
      </c>
      <c r="C76" s="73">
        <f t="shared" si="9"/>
        <v>5</v>
      </c>
      <c r="D76" s="74">
        <v>41780</v>
      </c>
      <c r="E76" s="74" t="s">
        <v>8</v>
      </c>
      <c r="F76" s="74">
        <v>41780</v>
      </c>
      <c r="G76" s="77" t="s">
        <v>22</v>
      </c>
      <c r="H76" s="180"/>
      <c r="I76" s="91"/>
      <c r="J76" s="75">
        <v>4500</v>
      </c>
      <c r="K76" s="76" t="s">
        <v>10</v>
      </c>
      <c r="L76" s="76" t="s">
        <v>34</v>
      </c>
      <c r="M76" s="103" t="str">
        <f>IF(AND('331-CT'!$E$7=TH!I76,OR(K76="331",L76="331")),"x","")</f>
        <v/>
      </c>
      <c r="N76" s="103" t="str">
        <f>IF(AND($C76&gt;='1111'!$N$10,$C76&lt;='1111'!$O$10,OR($K76=$N$7,$L76=$N$7)),"x","")</f>
        <v/>
      </c>
      <c r="O76" s="103" t="str">
        <f>IF(AND($K76=$N$7,$C76&lt;'1111'!$N$10),"x","")</f>
        <v/>
      </c>
      <c r="P76" s="103" t="str">
        <f>IF(AND($L76=$N$7,$C76&lt;'1111'!$N$10),"x","")</f>
        <v/>
      </c>
      <c r="Q76" s="103" t="str">
        <f>IF(AND($C76&gt;='1121'!$N$9,$C76&lt;='1121'!$O$9,OR($K76=$Q$7,$L76=$Q$7)),"x","")</f>
        <v/>
      </c>
      <c r="R76" s="103" t="str">
        <f>IF(AND($K76=$Q$7,$C76&lt;'1121'!$N$9),"x","")</f>
        <v/>
      </c>
      <c r="S76" s="103" t="str">
        <f>IF(AND($L76=$Q$7,$C76&lt;'1121'!$N$9),"x","")</f>
        <v>x</v>
      </c>
      <c r="T76" s="103" t="str">
        <f>IF(AND($C76&gt;='1331'!$I$9,$C76&lt;='1331'!$J$9,OR($K76=$T$7,$L76=$T$7)),"x","")</f>
        <v>x</v>
      </c>
      <c r="U76" s="103" t="str">
        <f>IF(AND($K76=$T$7,$C76&lt;'1331'!$I$9),"x","")</f>
        <v/>
      </c>
      <c r="V76" s="103" t="str">
        <f>IF(AND($L76=$T$7,$C76&lt;'1331'!$I$9),"x","")</f>
        <v/>
      </c>
      <c r="W76" s="103" t="str">
        <f>IF(AND('3411-CT'!$E$9=TH!I76,OR(TH!K76=TH!$W$7,L76=TH!$W$7)),"x","")</f>
        <v/>
      </c>
      <c r="X76" s="103" t="str">
        <f>IF(OR(TH!K76=TH!$X$7,L76=TH!$X$7),"x","")</f>
        <v/>
      </c>
    </row>
    <row r="77" spans="1:24" s="88" customFormat="1">
      <c r="A77" s="178" t="str">
        <f>IF(E77&lt;&gt;"",IF(AND(B77='IN - TC'!$Q$4,OR(TH!K77="1111",TH!L77="1111")),TH!E77,""),"")</f>
        <v/>
      </c>
      <c r="B77" s="73">
        <f t="shared" si="8"/>
        <v>2014</v>
      </c>
      <c r="C77" s="73">
        <f t="shared" si="9"/>
        <v>5</v>
      </c>
      <c r="D77" s="74">
        <v>41785</v>
      </c>
      <c r="E77" s="74" t="s">
        <v>49</v>
      </c>
      <c r="F77" s="74">
        <v>41785</v>
      </c>
      <c r="G77" s="77" t="s">
        <v>360</v>
      </c>
      <c r="H77" s="182" t="s">
        <v>361</v>
      </c>
      <c r="I77" s="91" t="s">
        <v>54</v>
      </c>
      <c r="J77" s="75">
        <v>33120000</v>
      </c>
      <c r="K77" s="76" t="s">
        <v>159</v>
      </c>
      <c r="L77" s="76" t="s">
        <v>9</v>
      </c>
      <c r="M77" s="103" t="str">
        <f>IF(AND('331-CT'!$E$7=TH!I77,OR(K77="331",L77="331")),"x","")</f>
        <v/>
      </c>
      <c r="N77" s="103" t="str">
        <f>IF(AND($C77&gt;='1111'!$N$10,$C77&lt;='1111'!$O$10,OR($K77=$N$7,$L77=$N$7)),"x","")</f>
        <v/>
      </c>
      <c r="O77" s="103" t="str">
        <f>IF(AND($K77=$N$7,$C77&lt;'1111'!$N$10),"x","")</f>
        <v/>
      </c>
      <c r="P77" s="103" t="str">
        <f>IF(AND($L77=$N$7,$C77&lt;'1111'!$N$10),"x","")</f>
        <v/>
      </c>
      <c r="Q77" s="103" t="str">
        <f>IF(AND($C77&gt;='1121'!$N$9,$C77&lt;='1121'!$O$9,OR($K77=$Q$7,$L77=$Q$7)),"x","")</f>
        <v/>
      </c>
      <c r="R77" s="103" t="str">
        <f>IF(AND($K77=$Q$7,$C77&lt;'1121'!$N$9),"x","")</f>
        <v/>
      </c>
      <c r="S77" s="103" t="str">
        <f>IF(AND($L77=$Q$7,$C77&lt;'1121'!$N$9),"x","")</f>
        <v/>
      </c>
      <c r="T77" s="103" t="str">
        <f>IF(AND($C77&gt;='1331'!$I$9,$C77&lt;='1331'!$J$9,OR($K77=$T$7,$L77=$T$7)),"x","")</f>
        <v/>
      </c>
      <c r="U77" s="103" t="str">
        <f>IF(AND($K77=$T$7,$C77&lt;'1331'!$I$9),"x","")</f>
        <v/>
      </c>
      <c r="V77" s="103" t="str">
        <f>IF(AND($L77=$T$7,$C77&lt;'1331'!$I$9),"x","")</f>
        <v/>
      </c>
      <c r="W77" s="103" t="str">
        <f>IF(AND('3411-CT'!$E$9=TH!I77,OR(TH!K77=TH!$W$7,L77=TH!$W$7)),"x","")</f>
        <v/>
      </c>
      <c r="X77" s="103" t="str">
        <f>IF(OR(TH!K77=TH!$X$7,L77=TH!$X$7),"x","")</f>
        <v/>
      </c>
    </row>
    <row r="78" spans="1:24" s="88" customFormat="1">
      <c r="A78" s="178" t="str">
        <f>IF(E78&lt;&gt;"",IF(AND(B78='IN - TC'!$Q$4,OR(TH!K78="1111",TH!L78="1111")),TH!E78,""),"")</f>
        <v/>
      </c>
      <c r="B78" s="73">
        <f t="shared" si="8"/>
        <v>2014</v>
      </c>
      <c r="C78" s="73">
        <f t="shared" si="9"/>
        <v>5</v>
      </c>
      <c r="D78" s="74">
        <v>41785</v>
      </c>
      <c r="E78" s="74" t="s">
        <v>49</v>
      </c>
      <c r="F78" s="74">
        <v>41785</v>
      </c>
      <c r="G78" s="77" t="s">
        <v>351</v>
      </c>
      <c r="H78" s="182" t="s">
        <v>361</v>
      </c>
      <c r="I78" s="91" t="s">
        <v>54</v>
      </c>
      <c r="J78" s="75">
        <v>3312000</v>
      </c>
      <c r="K78" s="76" t="s">
        <v>10</v>
      </c>
      <c r="L78" s="76" t="s">
        <v>9</v>
      </c>
      <c r="M78" s="103" t="str">
        <f>IF(AND('331-CT'!$E$7=TH!I78,OR(K78="331",L78="331")),"x","")</f>
        <v/>
      </c>
      <c r="N78" s="103" t="str">
        <f>IF(AND($C78&gt;='1111'!$N$10,$C78&lt;='1111'!$O$10,OR($K78=$N$7,$L78=$N$7)),"x","")</f>
        <v/>
      </c>
      <c r="O78" s="103" t="str">
        <f>IF(AND($K78=$N$7,$C78&lt;'1111'!$N$10),"x","")</f>
        <v/>
      </c>
      <c r="P78" s="103" t="str">
        <f>IF(AND($L78=$N$7,$C78&lt;'1111'!$N$10),"x","")</f>
        <v/>
      </c>
      <c r="Q78" s="103" t="str">
        <f>IF(AND($C78&gt;='1121'!$N$9,$C78&lt;='1121'!$O$9,OR($K78=$Q$7,$L78=$Q$7)),"x","")</f>
        <v/>
      </c>
      <c r="R78" s="103" t="str">
        <f>IF(AND($K78=$Q$7,$C78&lt;'1121'!$N$9),"x","")</f>
        <v/>
      </c>
      <c r="S78" s="103" t="str">
        <f>IF(AND($L78=$Q$7,$C78&lt;'1121'!$N$9),"x","")</f>
        <v/>
      </c>
      <c r="T78" s="103" t="str">
        <f>IF(AND($C78&gt;='1331'!$I$9,$C78&lt;='1331'!$J$9,OR($K78=$T$7,$L78=$T$7)),"x","")</f>
        <v>x</v>
      </c>
      <c r="U78" s="103" t="str">
        <f>IF(AND($K78=$T$7,$C78&lt;'1331'!$I$9),"x","")</f>
        <v/>
      </c>
      <c r="V78" s="103" t="str">
        <f>IF(AND($L78=$T$7,$C78&lt;'1331'!$I$9),"x","")</f>
        <v/>
      </c>
      <c r="W78" s="103" t="str">
        <f>IF(AND('3411-CT'!$E$9=TH!I78,OR(TH!K78=TH!$W$7,L78=TH!$W$7)),"x","")</f>
        <v/>
      </c>
      <c r="X78" s="103" t="str">
        <f>IF(OR(TH!K78=TH!$X$7,L78=TH!$X$7),"x","")</f>
        <v/>
      </c>
    </row>
    <row r="79" spans="1:24" s="88" customFormat="1">
      <c r="A79" s="178" t="str">
        <f>IF(E79&lt;&gt;"",IF(AND(B79='IN - TC'!$Q$4,OR(TH!K79="1111",TH!L79="1111")),TH!E79,""),"")</f>
        <v>C10</v>
      </c>
      <c r="B79" s="73">
        <f t="shared" si="8"/>
        <v>2014</v>
      </c>
      <c r="C79" s="73">
        <f t="shared" si="9"/>
        <v>6</v>
      </c>
      <c r="D79" s="74">
        <v>41810</v>
      </c>
      <c r="E79" s="74" t="s">
        <v>91</v>
      </c>
      <c r="F79" s="74">
        <v>41810</v>
      </c>
      <c r="G79" s="77" t="s">
        <v>222</v>
      </c>
      <c r="H79" s="182"/>
      <c r="I79" s="91" t="s">
        <v>186</v>
      </c>
      <c r="J79" s="75">
        <v>30000000</v>
      </c>
      <c r="K79" s="76" t="s">
        <v>34</v>
      </c>
      <c r="L79" s="76" t="s">
        <v>120</v>
      </c>
      <c r="M79" s="103" t="str">
        <f>IF(AND('331-CT'!$E$7=TH!I79,OR(K79="331",L79="331")),"x","")</f>
        <v/>
      </c>
      <c r="N79" s="103" t="str">
        <f>IF(AND($C79&gt;='1111'!$N$10,$C79&lt;='1111'!$O$10,OR($K79=$N$7,$L79=$N$7)),"x","")</f>
        <v/>
      </c>
      <c r="O79" s="103" t="str">
        <f>IF(AND($K79=$N$7,$C79&lt;'1111'!$N$10),"x","")</f>
        <v/>
      </c>
      <c r="P79" s="103" t="str">
        <f>IF(AND($L79=$N$7,$C79&lt;'1111'!$N$10),"x","")</f>
        <v>x</v>
      </c>
      <c r="Q79" s="103" t="str">
        <f>IF(AND($C79&gt;='1121'!$N$9,$C79&lt;='1121'!$O$9,OR($K79=$Q$7,$L79=$Q$7)),"x","")</f>
        <v/>
      </c>
      <c r="R79" s="103" t="str">
        <f>IF(AND($K79=$Q$7,$C79&lt;'1121'!$N$9),"x","")</f>
        <v>x</v>
      </c>
      <c r="S79" s="103" t="str">
        <f>IF(AND($L79=$Q$7,$C79&lt;'1121'!$N$9),"x","")</f>
        <v/>
      </c>
      <c r="T79" s="103" t="str">
        <f>IF(AND($C79&gt;='1331'!$I$9,$C79&lt;='1331'!$J$9,OR($K79=$T$7,$L79=$T$7)),"x","")</f>
        <v/>
      </c>
      <c r="U79" s="103" t="str">
        <f>IF(AND($K79=$T$7,$C79&lt;'1331'!$I$9),"x","")</f>
        <v/>
      </c>
      <c r="V79" s="103" t="str">
        <f>IF(AND($L79=$T$7,$C79&lt;'1331'!$I$9),"x","")</f>
        <v/>
      </c>
      <c r="W79" s="103" t="str">
        <f>IF(AND('3411-CT'!$E$9=TH!I79,OR(TH!K79=TH!$W$7,L79=TH!$W$7)),"x","")</f>
        <v/>
      </c>
      <c r="X79" s="103" t="str">
        <f>IF(OR(TH!K79=TH!$X$7,L79=TH!$X$7),"x","")</f>
        <v/>
      </c>
    </row>
    <row r="80" spans="1:24" s="88" customFormat="1">
      <c r="A80" s="178" t="str">
        <f>IF(E80&lt;&gt;"",IF(AND(B80='IN - TC'!$Q$4,OR(TH!K80="1111",TH!L80="1111")),TH!E80,""),"")</f>
        <v/>
      </c>
      <c r="B80" s="73">
        <f t="shared" si="8"/>
        <v>2014</v>
      </c>
      <c r="C80" s="73">
        <f t="shared" si="9"/>
        <v>6</v>
      </c>
      <c r="D80" s="74">
        <v>41810</v>
      </c>
      <c r="E80" s="74" t="s">
        <v>8</v>
      </c>
      <c r="F80" s="74">
        <v>41810</v>
      </c>
      <c r="G80" s="77" t="s">
        <v>29</v>
      </c>
      <c r="H80" s="182"/>
      <c r="I80" s="91"/>
      <c r="J80" s="75">
        <v>50000</v>
      </c>
      <c r="K80" s="76" t="s">
        <v>159</v>
      </c>
      <c r="L80" s="76" t="s">
        <v>34</v>
      </c>
      <c r="M80" s="103" t="str">
        <f>IF(AND('331-CT'!$E$7=TH!I80,OR(K80="331",L80="331")),"x","")</f>
        <v/>
      </c>
      <c r="N80" s="103" t="str">
        <f>IF(AND($C80&gt;='1111'!$N$10,$C80&lt;='1111'!$O$10,OR($K80=$N$7,$L80=$N$7)),"x","")</f>
        <v/>
      </c>
      <c r="O80" s="103" t="str">
        <f>IF(AND($K80=$N$7,$C80&lt;'1111'!$N$10),"x","")</f>
        <v/>
      </c>
      <c r="P80" s="103" t="str">
        <f>IF(AND($L80=$N$7,$C80&lt;'1111'!$N$10),"x","")</f>
        <v/>
      </c>
      <c r="Q80" s="103" t="str">
        <f>IF(AND($C80&gt;='1121'!$N$9,$C80&lt;='1121'!$O$9,OR($K80=$Q$7,$L80=$Q$7)),"x","")</f>
        <v/>
      </c>
      <c r="R80" s="103" t="str">
        <f>IF(AND($K80=$Q$7,$C80&lt;'1121'!$N$9),"x","")</f>
        <v/>
      </c>
      <c r="S80" s="103" t="str">
        <f>IF(AND($L80=$Q$7,$C80&lt;'1121'!$N$9),"x","")</f>
        <v>x</v>
      </c>
      <c r="T80" s="103" t="str">
        <f>IF(AND($C80&gt;='1331'!$I$9,$C80&lt;='1331'!$J$9,OR($K80=$T$7,$L80=$T$7)),"x","")</f>
        <v/>
      </c>
      <c r="U80" s="103" t="str">
        <f>IF(AND($K80=$T$7,$C80&lt;'1331'!$I$9),"x","")</f>
        <v/>
      </c>
      <c r="V80" s="103" t="str">
        <f>IF(AND($L80=$T$7,$C80&lt;'1331'!$I$9),"x","")</f>
        <v/>
      </c>
      <c r="W80" s="103" t="str">
        <f>IF(AND('3411-CT'!$E$9=TH!I80,OR(TH!K80=TH!$W$7,L80=TH!$W$7)),"x","")</f>
        <v/>
      </c>
      <c r="X80" s="103" t="str">
        <f>IF(OR(TH!K80=TH!$X$7,L80=TH!$X$7),"x","")</f>
        <v/>
      </c>
    </row>
    <row r="81" spans="1:24" s="88" customFormat="1">
      <c r="A81" s="178" t="str">
        <f>IF(E81&lt;&gt;"",IF(AND(B81='IN - TC'!$Q$4,OR(TH!K81="1111",TH!L81="1111")),TH!E81,""),"")</f>
        <v/>
      </c>
      <c r="B81" s="73">
        <f t="shared" si="8"/>
        <v>2014</v>
      </c>
      <c r="C81" s="73">
        <f t="shared" si="9"/>
        <v>6</v>
      </c>
      <c r="D81" s="86">
        <v>41810</v>
      </c>
      <c r="E81" s="74" t="s">
        <v>8</v>
      </c>
      <c r="F81" s="74">
        <v>41810</v>
      </c>
      <c r="G81" s="77" t="s">
        <v>26</v>
      </c>
      <c r="H81" s="180"/>
      <c r="I81" s="91"/>
      <c r="J81" s="75">
        <v>5000</v>
      </c>
      <c r="K81" s="78" t="s">
        <v>10</v>
      </c>
      <c r="L81" s="76" t="s">
        <v>34</v>
      </c>
      <c r="M81" s="103" t="str">
        <f>IF(AND('331-CT'!$E$7=TH!I81,OR(K81="331",L81="331")),"x","")</f>
        <v/>
      </c>
      <c r="N81" s="103" t="str">
        <f>IF(AND($C81&gt;='1111'!$N$10,$C81&lt;='1111'!$O$10,OR($K81=$N$7,$L81=$N$7)),"x","")</f>
        <v/>
      </c>
      <c r="O81" s="103" t="str">
        <f>IF(AND($K81=$N$7,$C81&lt;'1111'!$N$10),"x","")</f>
        <v/>
      </c>
      <c r="P81" s="103" t="str">
        <f>IF(AND($L81=$N$7,$C81&lt;'1111'!$N$10),"x","")</f>
        <v/>
      </c>
      <c r="Q81" s="103" t="str">
        <f>IF(AND($C81&gt;='1121'!$N$9,$C81&lt;='1121'!$O$9,OR($K81=$Q$7,$L81=$Q$7)),"x","")</f>
        <v/>
      </c>
      <c r="R81" s="103" t="str">
        <f>IF(AND($K81=$Q$7,$C81&lt;'1121'!$N$9),"x","")</f>
        <v/>
      </c>
      <c r="S81" s="103" t="str">
        <f>IF(AND($L81=$Q$7,$C81&lt;'1121'!$N$9),"x","")</f>
        <v>x</v>
      </c>
      <c r="T81" s="103" t="str">
        <f>IF(AND($C81&gt;='1331'!$I$9,$C81&lt;='1331'!$J$9,OR($K81=$T$7,$L81=$T$7)),"x","")</f>
        <v>x</v>
      </c>
      <c r="U81" s="103" t="str">
        <f>IF(AND($K81=$T$7,$C81&lt;'1331'!$I$9),"x","")</f>
        <v/>
      </c>
      <c r="V81" s="103" t="str">
        <f>IF(AND($L81=$T$7,$C81&lt;'1331'!$I$9),"x","")</f>
        <v/>
      </c>
      <c r="W81" s="103" t="str">
        <f>IF(AND('3411-CT'!$E$9=TH!I81,OR(TH!K81=TH!$W$7,L81=TH!$W$7)),"x","")</f>
        <v/>
      </c>
      <c r="X81" s="103" t="str">
        <f>IF(OR(TH!K81=TH!$X$7,L81=TH!$X$7),"x","")</f>
        <v/>
      </c>
    </row>
    <row r="82" spans="1:24" s="88" customFormat="1">
      <c r="A82" s="178" t="str">
        <f>IF(E82&lt;&gt;"",IF(AND(B82='IN - TC'!$Q$4,OR(TH!K82="1111",TH!L82="1111")),TH!E82,""),"")</f>
        <v/>
      </c>
      <c r="B82" s="73">
        <f t="shared" si="8"/>
        <v>2014</v>
      </c>
      <c r="C82" s="73">
        <f t="shared" si="9"/>
        <v>6</v>
      </c>
      <c r="D82" s="74">
        <v>41810</v>
      </c>
      <c r="E82" s="74" t="s">
        <v>8</v>
      </c>
      <c r="F82" s="74">
        <v>41810</v>
      </c>
      <c r="G82" s="77" t="s">
        <v>346</v>
      </c>
      <c r="H82" s="180"/>
      <c r="I82" s="91"/>
      <c r="J82" s="75">
        <v>50000</v>
      </c>
      <c r="K82" s="76" t="s">
        <v>159</v>
      </c>
      <c r="L82" s="76" t="s">
        <v>34</v>
      </c>
      <c r="M82" s="103" t="str">
        <f>IF(AND('331-CT'!$E$7=TH!I82,OR(K82="331",L82="331")),"x","")</f>
        <v/>
      </c>
      <c r="N82" s="103" t="str">
        <f>IF(AND($C82&gt;='1111'!$N$10,$C82&lt;='1111'!$O$10,OR($K82=$N$7,$L82=$N$7)),"x","")</f>
        <v/>
      </c>
      <c r="O82" s="103" t="str">
        <f>IF(AND($K82=$N$7,$C82&lt;'1111'!$N$10),"x","")</f>
        <v/>
      </c>
      <c r="P82" s="103" t="str">
        <f>IF(AND($L82=$N$7,$C82&lt;'1111'!$N$10),"x","")</f>
        <v/>
      </c>
      <c r="Q82" s="103" t="str">
        <f>IF(AND($C82&gt;='1121'!$N$9,$C82&lt;='1121'!$O$9,OR($K82=$Q$7,$L82=$Q$7)),"x","")</f>
        <v/>
      </c>
      <c r="R82" s="103" t="str">
        <f>IF(AND($K82=$Q$7,$C82&lt;'1121'!$N$9),"x","")</f>
        <v/>
      </c>
      <c r="S82" s="103" t="str">
        <f>IF(AND($L82=$Q$7,$C82&lt;'1121'!$N$9),"x","")</f>
        <v>x</v>
      </c>
      <c r="T82" s="103" t="str">
        <f>IF(AND($C82&gt;='1331'!$I$9,$C82&lt;='1331'!$J$9,OR($K82=$T$7,$L82=$T$7)),"x","")</f>
        <v/>
      </c>
      <c r="U82" s="103" t="str">
        <f>IF(AND($K82=$T$7,$C82&lt;'1331'!$I$9),"x","")</f>
        <v/>
      </c>
      <c r="V82" s="103" t="str">
        <f>IF(AND($L82=$T$7,$C82&lt;'1331'!$I$9),"x","")</f>
        <v/>
      </c>
      <c r="W82" s="103" t="str">
        <f>IF(AND('3411-CT'!$E$9=TH!I82,OR(TH!K82=TH!$W$7,L82=TH!$W$7)),"x","")</f>
        <v/>
      </c>
      <c r="X82" s="103" t="str">
        <f>IF(OR(TH!K82=TH!$X$7,L82=TH!$X$7),"x","")</f>
        <v/>
      </c>
    </row>
    <row r="83" spans="1:24" s="88" customFormat="1">
      <c r="A83" s="178" t="str">
        <f>IF(E83&lt;&gt;"",IF(AND(B83='IN - TC'!$Q$4,OR(TH!K83="1111",TH!L83="1111")),TH!E83,""),"")</f>
        <v/>
      </c>
      <c r="B83" s="73">
        <f t="shared" ref="B83:B144" si="10">IF(D83&lt;&gt;"",YEAR(D83),"")</f>
        <v>2014</v>
      </c>
      <c r="C83" s="73">
        <f t="shared" ref="C83:C144" si="11">IF(D83&lt;&gt;"",MONTH(D83),"")</f>
        <v>6</v>
      </c>
      <c r="D83" s="74">
        <v>41810</v>
      </c>
      <c r="E83" s="74" t="s">
        <v>8</v>
      </c>
      <c r="F83" s="74">
        <v>41810</v>
      </c>
      <c r="G83" s="77" t="s">
        <v>26</v>
      </c>
      <c r="H83" s="180"/>
      <c r="I83" s="91"/>
      <c r="J83" s="75">
        <v>5000</v>
      </c>
      <c r="K83" s="76" t="s">
        <v>10</v>
      </c>
      <c r="L83" s="76" t="s">
        <v>34</v>
      </c>
      <c r="M83" s="103" t="str">
        <f>IF(AND('331-CT'!$E$7=TH!I83,OR(K83="331",L83="331")),"x","")</f>
        <v/>
      </c>
      <c r="N83" s="103" t="str">
        <f>IF(AND($C83&gt;='1111'!$N$10,$C83&lt;='1111'!$O$10,OR($K83=$N$7,$L83=$N$7)),"x","")</f>
        <v/>
      </c>
      <c r="O83" s="103" t="str">
        <f>IF(AND($K83=$N$7,$C83&lt;'1111'!$N$10),"x","")</f>
        <v/>
      </c>
      <c r="P83" s="103" t="str">
        <f>IF(AND($L83=$N$7,$C83&lt;'1111'!$N$10),"x","")</f>
        <v/>
      </c>
      <c r="Q83" s="103" t="str">
        <f>IF(AND($C83&gt;='1121'!$N$9,$C83&lt;='1121'!$O$9,OR($K83=$Q$7,$L83=$Q$7)),"x","")</f>
        <v/>
      </c>
      <c r="R83" s="103" t="str">
        <f>IF(AND($K83=$Q$7,$C83&lt;'1121'!$N$9),"x","")</f>
        <v/>
      </c>
      <c r="S83" s="103" t="str">
        <f>IF(AND($L83=$Q$7,$C83&lt;'1121'!$N$9),"x","")</f>
        <v>x</v>
      </c>
      <c r="T83" s="103" t="str">
        <f>IF(AND($C83&gt;='1331'!$I$9,$C83&lt;='1331'!$J$9,OR($K83=$T$7,$L83=$T$7)),"x","")</f>
        <v>x</v>
      </c>
      <c r="U83" s="103" t="str">
        <f>IF(AND($K83=$T$7,$C83&lt;'1331'!$I$9),"x","")</f>
        <v/>
      </c>
      <c r="V83" s="103" t="str">
        <f>IF(AND($L83=$T$7,$C83&lt;'1331'!$I$9),"x","")</f>
        <v/>
      </c>
      <c r="W83" s="103" t="str">
        <f>IF(AND('3411-CT'!$E$9=TH!I83,OR(TH!K83=TH!$W$7,L83=TH!$W$7)),"x","")</f>
        <v/>
      </c>
      <c r="X83" s="103" t="str">
        <f>IF(OR(TH!K83=TH!$X$7,L83=TH!$X$7),"x","")</f>
        <v/>
      </c>
    </row>
    <row r="84" spans="1:24" s="88" customFormat="1">
      <c r="A84" s="178" t="str">
        <f>IF(E84&lt;&gt;"",IF(AND(B84='IN - TC'!$Q$4,OR(TH!K84="1111",TH!L84="1111")),TH!E84,""),"")</f>
        <v/>
      </c>
      <c r="B84" s="73">
        <f t="shared" si="10"/>
        <v>2014</v>
      </c>
      <c r="C84" s="73">
        <f t="shared" si="11"/>
        <v>6</v>
      </c>
      <c r="D84" s="74">
        <v>41810</v>
      </c>
      <c r="E84" s="74" t="s">
        <v>8</v>
      </c>
      <c r="F84" s="74">
        <v>41810</v>
      </c>
      <c r="G84" s="77" t="s">
        <v>28</v>
      </c>
      <c r="H84" s="182"/>
      <c r="I84" s="91"/>
      <c r="J84" s="75">
        <v>50000</v>
      </c>
      <c r="K84" s="76" t="s">
        <v>159</v>
      </c>
      <c r="L84" s="76" t="s">
        <v>34</v>
      </c>
      <c r="M84" s="103" t="str">
        <f>IF(AND('331-CT'!$E$7=TH!I84,OR(K84="331",L84="331")),"x","")</f>
        <v/>
      </c>
      <c r="N84" s="103" t="str">
        <f>IF(AND($C84&gt;='1111'!$N$10,$C84&lt;='1111'!$O$10,OR($K84=$N$7,$L84=$N$7)),"x","")</f>
        <v/>
      </c>
      <c r="O84" s="103" t="str">
        <f>IF(AND($K84=$N$7,$C84&lt;'1111'!$N$10),"x","")</f>
        <v/>
      </c>
      <c r="P84" s="103" t="str">
        <f>IF(AND($L84=$N$7,$C84&lt;'1111'!$N$10),"x","")</f>
        <v/>
      </c>
      <c r="Q84" s="103" t="str">
        <f>IF(AND($C84&gt;='1121'!$N$9,$C84&lt;='1121'!$O$9,OR($K84=$Q$7,$L84=$Q$7)),"x","")</f>
        <v/>
      </c>
      <c r="R84" s="103" t="str">
        <f>IF(AND($K84=$Q$7,$C84&lt;'1121'!$N$9),"x","")</f>
        <v/>
      </c>
      <c r="S84" s="103" t="str">
        <f>IF(AND($L84=$Q$7,$C84&lt;'1121'!$N$9),"x","")</f>
        <v>x</v>
      </c>
      <c r="T84" s="103" t="str">
        <f>IF(AND($C84&gt;='1331'!$I$9,$C84&lt;='1331'!$J$9,OR($K84=$T$7,$L84=$T$7)),"x","")</f>
        <v/>
      </c>
      <c r="U84" s="103" t="str">
        <f>IF(AND($K84=$T$7,$C84&lt;'1331'!$I$9),"x","")</f>
        <v/>
      </c>
      <c r="V84" s="103" t="str">
        <f>IF(AND($L84=$T$7,$C84&lt;'1331'!$I$9),"x","")</f>
        <v/>
      </c>
      <c r="W84" s="103" t="str">
        <f>IF(AND('3411-CT'!$E$9=TH!I84,OR(TH!K84=TH!$W$7,L84=TH!$W$7)),"x","")</f>
        <v/>
      </c>
      <c r="X84" s="103" t="str">
        <f>IF(OR(TH!K84=TH!$X$7,L84=TH!$X$7),"x","")</f>
        <v/>
      </c>
    </row>
    <row r="85" spans="1:24" s="88" customFormat="1">
      <c r="A85" s="178" t="str">
        <f>IF(E85&lt;&gt;"",IF(AND(B85='IN - TC'!$Q$4,OR(TH!K85="1111",TH!L85="1111")),TH!E85,""),"")</f>
        <v/>
      </c>
      <c r="B85" s="73">
        <f t="shared" si="10"/>
        <v>2014</v>
      </c>
      <c r="C85" s="73">
        <f t="shared" si="11"/>
        <v>6</v>
      </c>
      <c r="D85" s="74">
        <v>41810</v>
      </c>
      <c r="E85" s="74" t="s">
        <v>8</v>
      </c>
      <c r="F85" s="74">
        <v>41810</v>
      </c>
      <c r="G85" s="77" t="s">
        <v>26</v>
      </c>
      <c r="H85" s="182"/>
      <c r="I85" s="91"/>
      <c r="J85" s="75">
        <v>5000</v>
      </c>
      <c r="K85" s="76" t="s">
        <v>10</v>
      </c>
      <c r="L85" s="76" t="s">
        <v>34</v>
      </c>
      <c r="M85" s="103" t="str">
        <f>IF(AND('331-CT'!$E$7=TH!I85,OR(K85="331",L85="331")),"x","")</f>
        <v/>
      </c>
      <c r="N85" s="103" t="str">
        <f>IF(AND($C85&gt;='1111'!$N$10,$C85&lt;='1111'!$O$10,OR($K85=$N$7,$L85=$N$7)),"x","")</f>
        <v/>
      </c>
      <c r="O85" s="103" t="str">
        <f>IF(AND($K85=$N$7,$C85&lt;'1111'!$N$10),"x","")</f>
        <v/>
      </c>
      <c r="P85" s="103" t="str">
        <f>IF(AND($L85=$N$7,$C85&lt;'1111'!$N$10),"x","")</f>
        <v/>
      </c>
      <c r="Q85" s="103" t="str">
        <f>IF(AND($C85&gt;='1121'!$N$9,$C85&lt;='1121'!$O$9,OR($K85=$Q$7,$L85=$Q$7)),"x","")</f>
        <v/>
      </c>
      <c r="R85" s="103" t="str">
        <f>IF(AND($K85=$Q$7,$C85&lt;'1121'!$N$9),"x","")</f>
        <v/>
      </c>
      <c r="S85" s="103" t="str">
        <f>IF(AND($L85=$Q$7,$C85&lt;'1121'!$N$9),"x","")</f>
        <v>x</v>
      </c>
      <c r="T85" s="103" t="str">
        <f>IF(AND($C85&gt;='1331'!$I$9,$C85&lt;='1331'!$J$9,OR($K85=$T$7,$L85=$T$7)),"x","")</f>
        <v>x</v>
      </c>
      <c r="U85" s="103" t="str">
        <f>IF(AND($K85=$T$7,$C85&lt;'1331'!$I$9),"x","")</f>
        <v/>
      </c>
      <c r="V85" s="103" t="str">
        <f>IF(AND($L85=$T$7,$C85&lt;'1331'!$I$9),"x","")</f>
        <v/>
      </c>
      <c r="W85" s="103" t="str">
        <f>IF(AND('3411-CT'!$E$9=TH!I85,OR(TH!K85=TH!$W$7,L85=TH!$W$7)),"x","")</f>
        <v/>
      </c>
      <c r="X85" s="103" t="str">
        <f>IF(OR(TH!K85=TH!$X$7,L85=TH!$X$7),"x","")</f>
        <v/>
      </c>
    </row>
    <row r="86" spans="1:24" s="88" customFormat="1">
      <c r="A86" s="178" t="str">
        <f>IF(E86&lt;&gt;"",IF(AND(B86='IN - TC'!$Q$4,OR(TH!K86="1111",TH!L86="1111")),TH!E86,""),"")</f>
        <v/>
      </c>
      <c r="B86" s="73">
        <f t="shared" si="10"/>
        <v>2014</v>
      </c>
      <c r="C86" s="73">
        <f t="shared" si="11"/>
        <v>6</v>
      </c>
      <c r="D86" s="74">
        <v>41813</v>
      </c>
      <c r="E86" s="74" t="s">
        <v>8</v>
      </c>
      <c r="F86" s="74">
        <v>41813</v>
      </c>
      <c r="G86" s="77" t="s">
        <v>356</v>
      </c>
      <c r="H86" s="180"/>
      <c r="I86" s="91" t="s">
        <v>58</v>
      </c>
      <c r="J86" s="75">
        <v>30000000</v>
      </c>
      <c r="K86" s="76" t="s">
        <v>9</v>
      </c>
      <c r="L86" s="76" t="s">
        <v>34</v>
      </c>
      <c r="M86" s="103" t="str">
        <f>IF(AND('331-CT'!$E$7=TH!I86,OR(K86="331",L86="331")),"x","")</f>
        <v/>
      </c>
      <c r="N86" s="103" t="str">
        <f>IF(AND($C86&gt;='1111'!$N$10,$C86&lt;='1111'!$O$10,OR($K86=$N$7,$L86=$N$7)),"x","")</f>
        <v/>
      </c>
      <c r="O86" s="103" t="str">
        <f>IF(AND($K86=$N$7,$C86&lt;'1111'!$N$10),"x","")</f>
        <v/>
      </c>
      <c r="P86" s="103" t="str">
        <f>IF(AND($L86=$N$7,$C86&lt;'1111'!$N$10),"x","")</f>
        <v/>
      </c>
      <c r="Q86" s="103" t="str">
        <f>IF(AND($C86&gt;='1121'!$N$9,$C86&lt;='1121'!$O$9,OR($K86=$Q$7,$L86=$Q$7)),"x","")</f>
        <v/>
      </c>
      <c r="R86" s="103" t="str">
        <f>IF(AND($K86=$Q$7,$C86&lt;'1121'!$N$9),"x","")</f>
        <v/>
      </c>
      <c r="S86" s="103" t="str">
        <f>IF(AND($L86=$Q$7,$C86&lt;'1121'!$N$9),"x","")</f>
        <v>x</v>
      </c>
      <c r="T86" s="103" t="str">
        <f>IF(AND($C86&gt;='1331'!$I$9,$C86&lt;='1331'!$J$9,OR($K86=$T$7,$L86=$T$7)),"x","")</f>
        <v/>
      </c>
      <c r="U86" s="103" t="str">
        <f>IF(AND($K86=$T$7,$C86&lt;'1331'!$I$9),"x","")</f>
        <v/>
      </c>
      <c r="V86" s="103" t="str">
        <f>IF(AND($L86=$T$7,$C86&lt;'1331'!$I$9),"x","")</f>
        <v/>
      </c>
      <c r="W86" s="103" t="str">
        <f>IF(AND('3411-CT'!$E$9=TH!I86,OR(TH!K86=TH!$W$7,L86=TH!$W$7)),"x","")</f>
        <v/>
      </c>
      <c r="X86" s="103" t="str">
        <f>IF(OR(TH!K86=TH!$X$7,L86=TH!$X$7),"x","")</f>
        <v/>
      </c>
    </row>
    <row r="87" spans="1:24" s="104" customFormat="1">
      <c r="A87" s="178" t="str">
        <f>IF(E87&lt;&gt;"",IF(AND(B87='IN - TC'!$Q$4,OR(TH!K87="1111",TH!L87="1111")),TH!E87,""),"")</f>
        <v/>
      </c>
      <c r="B87" s="73">
        <f t="shared" si="10"/>
        <v>2014</v>
      </c>
      <c r="C87" s="73">
        <f t="shared" si="11"/>
        <v>6</v>
      </c>
      <c r="D87" s="74">
        <v>41813</v>
      </c>
      <c r="E87" s="74" t="s">
        <v>8</v>
      </c>
      <c r="F87" s="74">
        <v>41813</v>
      </c>
      <c r="G87" s="77" t="s">
        <v>21</v>
      </c>
      <c r="H87" s="180"/>
      <c r="I87" s="91"/>
      <c r="J87" s="75">
        <v>20000</v>
      </c>
      <c r="K87" s="76" t="s">
        <v>159</v>
      </c>
      <c r="L87" s="76" t="s">
        <v>34</v>
      </c>
      <c r="M87" s="103" t="str">
        <f>IF(AND('331-CT'!$E$7=TH!I87,OR(K87="331",L87="331")),"x","")</f>
        <v/>
      </c>
      <c r="N87" s="103" t="str">
        <f>IF(AND($C87&gt;='1111'!$N$10,$C87&lt;='1111'!$O$10,OR($K87=$N$7,$L87=$N$7)),"x","")</f>
        <v/>
      </c>
      <c r="O87" s="103" t="str">
        <f>IF(AND($K87=$N$7,$C87&lt;'1111'!$N$10),"x","")</f>
        <v/>
      </c>
      <c r="P87" s="103" t="str">
        <f>IF(AND($L87=$N$7,$C87&lt;'1111'!$N$10),"x","")</f>
        <v/>
      </c>
      <c r="Q87" s="103" t="str">
        <f>IF(AND($C87&gt;='1121'!$N$9,$C87&lt;='1121'!$O$9,OR($K87=$Q$7,$L87=$Q$7)),"x","")</f>
        <v/>
      </c>
      <c r="R87" s="103" t="str">
        <f>IF(AND($K87=$Q$7,$C87&lt;'1121'!$N$9),"x","")</f>
        <v/>
      </c>
      <c r="S87" s="103" t="str">
        <f>IF(AND($L87=$Q$7,$C87&lt;'1121'!$N$9),"x","")</f>
        <v>x</v>
      </c>
      <c r="T87" s="103" t="str">
        <f>IF(AND($C87&gt;='1331'!$I$9,$C87&lt;='1331'!$J$9,OR($K87=$T$7,$L87=$T$7)),"x","")</f>
        <v/>
      </c>
      <c r="U87" s="103" t="str">
        <f>IF(AND($K87=$T$7,$C87&lt;'1331'!$I$9),"x","")</f>
        <v/>
      </c>
      <c r="V87" s="103" t="str">
        <f>IF(AND($L87=$T$7,$C87&lt;'1331'!$I$9),"x","")</f>
        <v/>
      </c>
      <c r="W87" s="103" t="str">
        <f>IF(AND('3411-CT'!$E$9=TH!I87,OR(TH!K87=TH!$W$7,L87=TH!$W$7)),"x","")</f>
        <v/>
      </c>
      <c r="X87" s="103" t="str">
        <f>IF(OR(TH!K87=TH!$X$7,L87=TH!$X$7),"x","")</f>
        <v/>
      </c>
    </row>
    <row r="88" spans="1:24" s="104" customFormat="1">
      <c r="A88" s="178" t="str">
        <f>IF(E88&lt;&gt;"",IF(AND(B88='IN - TC'!$Q$4,OR(TH!K88="1111",TH!L88="1111")),TH!E88,""),"")</f>
        <v/>
      </c>
      <c r="B88" s="73">
        <f t="shared" si="10"/>
        <v>2014</v>
      </c>
      <c r="C88" s="73">
        <f t="shared" si="11"/>
        <v>6</v>
      </c>
      <c r="D88" s="74">
        <v>41813</v>
      </c>
      <c r="E88" s="74" t="s">
        <v>8</v>
      </c>
      <c r="F88" s="74">
        <v>41813</v>
      </c>
      <c r="G88" s="77" t="s">
        <v>22</v>
      </c>
      <c r="H88" s="180"/>
      <c r="I88" s="91"/>
      <c r="J88" s="75">
        <v>2000</v>
      </c>
      <c r="K88" s="76" t="s">
        <v>10</v>
      </c>
      <c r="L88" s="76" t="s">
        <v>34</v>
      </c>
      <c r="M88" s="103" t="str">
        <f>IF(AND('331-CT'!$E$7=TH!I88,OR(K88="331",L88="331")),"x","")</f>
        <v/>
      </c>
      <c r="N88" s="103" t="str">
        <f>IF(AND($C88&gt;='1111'!$N$10,$C88&lt;='1111'!$O$10,OR($K88=$N$7,$L88=$N$7)),"x","")</f>
        <v/>
      </c>
      <c r="O88" s="103" t="str">
        <f>IF(AND($K88=$N$7,$C88&lt;'1111'!$N$10),"x","")</f>
        <v/>
      </c>
      <c r="P88" s="103" t="str">
        <f>IF(AND($L88=$N$7,$C88&lt;'1111'!$N$10),"x","")</f>
        <v/>
      </c>
      <c r="Q88" s="103" t="str">
        <f>IF(AND($C88&gt;='1121'!$N$9,$C88&lt;='1121'!$O$9,OR($K88=$Q$7,$L88=$Q$7)),"x","")</f>
        <v/>
      </c>
      <c r="R88" s="103" t="str">
        <f>IF(AND($K88=$Q$7,$C88&lt;'1121'!$N$9),"x","")</f>
        <v/>
      </c>
      <c r="S88" s="103" t="str">
        <f>IF(AND($L88=$Q$7,$C88&lt;'1121'!$N$9),"x","")</f>
        <v>x</v>
      </c>
      <c r="T88" s="103" t="str">
        <f>IF(AND($C88&gt;='1331'!$I$9,$C88&lt;='1331'!$J$9,OR($K88=$T$7,$L88=$T$7)),"x","")</f>
        <v>x</v>
      </c>
      <c r="U88" s="103" t="str">
        <f>IF(AND($K88=$T$7,$C88&lt;'1331'!$I$9),"x","")</f>
        <v/>
      </c>
      <c r="V88" s="103" t="str">
        <f>IF(AND($L88=$T$7,$C88&lt;'1331'!$I$9),"x","")</f>
        <v/>
      </c>
      <c r="W88" s="103" t="str">
        <f>IF(AND('3411-CT'!$E$9=TH!I88,OR(TH!K88=TH!$W$7,L88=TH!$W$7)),"x","")</f>
        <v/>
      </c>
      <c r="X88" s="103" t="str">
        <f>IF(OR(TH!K88=TH!$X$7,L88=TH!$X$7),"x","")</f>
        <v/>
      </c>
    </row>
    <row r="89" spans="1:24" s="88" customFormat="1">
      <c r="A89" s="178" t="str">
        <f>IF(E89&lt;&gt;"",IF(AND(B89='IN - TC'!$Q$4,OR(TH!K89="1111",TH!L89="1111")),TH!E89,""),"")</f>
        <v/>
      </c>
      <c r="B89" s="73">
        <f t="shared" si="10"/>
        <v>2014</v>
      </c>
      <c r="C89" s="73">
        <f t="shared" si="11"/>
        <v>7</v>
      </c>
      <c r="D89" s="74">
        <v>41821</v>
      </c>
      <c r="E89" s="74" t="s">
        <v>8</v>
      </c>
      <c r="F89" s="74">
        <v>41821</v>
      </c>
      <c r="G89" s="77" t="s">
        <v>63</v>
      </c>
      <c r="H89" s="180"/>
      <c r="I89" s="91"/>
      <c r="J89" s="75">
        <v>100000</v>
      </c>
      <c r="K89" s="76" t="s">
        <v>159</v>
      </c>
      <c r="L89" s="76" t="s">
        <v>34</v>
      </c>
      <c r="M89" s="103" t="str">
        <f>IF(AND('331-CT'!$E$7=TH!I89,OR(K89="331",L89="331")),"x","")</f>
        <v/>
      </c>
      <c r="N89" s="103" t="str">
        <f>IF(AND($C89&gt;='1111'!$N$10,$C89&lt;='1111'!$O$10,OR($K89=$N$7,$L89=$N$7)),"x","")</f>
        <v/>
      </c>
      <c r="O89" s="103" t="str">
        <f>IF(AND($K89=$N$7,$C89&lt;'1111'!$N$10),"x","")</f>
        <v/>
      </c>
      <c r="P89" s="103" t="str">
        <f>IF(AND($L89=$N$7,$C89&lt;'1111'!$N$10),"x","")</f>
        <v/>
      </c>
      <c r="Q89" s="103" t="str">
        <f>IF(AND($C89&gt;='1121'!$N$9,$C89&lt;='1121'!$O$9,OR($K89=$Q$7,$L89=$Q$7)),"x","")</f>
        <v/>
      </c>
      <c r="R89" s="103" t="str">
        <f>IF(AND($K89=$Q$7,$C89&lt;'1121'!$N$9),"x","")</f>
        <v/>
      </c>
      <c r="S89" s="103" t="str">
        <f>IF(AND($L89=$Q$7,$C89&lt;'1121'!$N$9),"x","")</f>
        <v>x</v>
      </c>
      <c r="T89" s="103" t="str">
        <f>IF(AND($C89&gt;='1331'!$I$9,$C89&lt;='1331'!$J$9,OR($K89=$T$7,$L89=$T$7)),"x","")</f>
        <v/>
      </c>
      <c r="U89" s="103" t="str">
        <f>IF(AND($K89=$T$7,$C89&lt;'1331'!$I$9),"x","")</f>
        <v/>
      </c>
      <c r="V89" s="103" t="str">
        <f>IF(AND($L89=$T$7,$C89&lt;'1331'!$I$9),"x","")</f>
        <v/>
      </c>
      <c r="W89" s="103" t="str">
        <f>IF(AND('3411-CT'!$E$9=TH!I89,OR(TH!K89=TH!$W$7,L89=TH!$W$7)),"x","")</f>
        <v/>
      </c>
      <c r="X89" s="103" t="str">
        <f>IF(OR(TH!K89=TH!$X$7,L89=TH!$X$7),"x","")</f>
        <v/>
      </c>
    </row>
    <row r="90" spans="1:24" s="88" customFormat="1">
      <c r="A90" s="178" t="str">
        <f>IF(E90&lt;&gt;"",IF(AND(B90='IN - TC'!$Q$4,OR(TH!K90="1111",TH!L90="1111")),TH!E90,""),"")</f>
        <v/>
      </c>
      <c r="B90" s="73">
        <f t="shared" si="10"/>
        <v>2014</v>
      </c>
      <c r="C90" s="73">
        <f t="shared" si="11"/>
        <v>7</v>
      </c>
      <c r="D90" s="74">
        <v>41821</v>
      </c>
      <c r="E90" s="74" t="s">
        <v>8</v>
      </c>
      <c r="F90" s="74">
        <v>41821</v>
      </c>
      <c r="G90" s="77" t="s">
        <v>64</v>
      </c>
      <c r="H90" s="180"/>
      <c r="I90" s="91"/>
      <c r="J90" s="75">
        <v>10000</v>
      </c>
      <c r="K90" s="76" t="s">
        <v>10</v>
      </c>
      <c r="L90" s="76" t="s">
        <v>34</v>
      </c>
      <c r="M90" s="103" t="str">
        <f>IF(AND('331-CT'!$E$7=TH!I90,OR(K90="331",L90="331")),"x","")</f>
        <v/>
      </c>
      <c r="N90" s="103" t="str">
        <f>IF(AND($C90&gt;='1111'!$N$10,$C90&lt;='1111'!$O$10,OR($K90=$N$7,$L90=$N$7)),"x","")</f>
        <v/>
      </c>
      <c r="O90" s="103" t="str">
        <f>IF(AND($K90=$N$7,$C90&lt;'1111'!$N$10),"x","")</f>
        <v/>
      </c>
      <c r="P90" s="103" t="str">
        <f>IF(AND($L90=$N$7,$C90&lt;'1111'!$N$10),"x","")</f>
        <v/>
      </c>
      <c r="Q90" s="103" t="str">
        <f>IF(AND($C90&gt;='1121'!$N$9,$C90&lt;='1121'!$O$9,OR($K90=$Q$7,$L90=$Q$7)),"x","")</f>
        <v/>
      </c>
      <c r="R90" s="103" t="str">
        <f>IF(AND($K90=$Q$7,$C90&lt;'1121'!$N$9),"x","")</f>
        <v/>
      </c>
      <c r="S90" s="103" t="str">
        <f>IF(AND($L90=$Q$7,$C90&lt;'1121'!$N$9),"x","")</f>
        <v>x</v>
      </c>
      <c r="T90" s="103" t="str">
        <f>IF(AND($C90&gt;='1331'!$I$9,$C90&lt;='1331'!$J$9,OR($K90=$T$7,$L90=$T$7)),"x","")</f>
        <v/>
      </c>
      <c r="U90" s="103" t="str">
        <f>IF(AND($K90=$T$7,$C90&lt;'1331'!$I$9),"x","")</f>
        <v/>
      </c>
      <c r="V90" s="103" t="str">
        <f>IF(AND($L90=$T$7,$C90&lt;'1331'!$I$9),"x","")</f>
        <v/>
      </c>
      <c r="W90" s="103" t="str">
        <f>IF(AND('3411-CT'!$E$9=TH!I90,OR(TH!K90=TH!$W$7,L90=TH!$W$7)),"x","")</f>
        <v/>
      </c>
      <c r="X90" s="103" t="str">
        <f>IF(OR(TH!K90=TH!$X$7,L90=TH!$X$7),"x","")</f>
        <v/>
      </c>
    </row>
    <row r="91" spans="1:24" s="88" customFormat="1">
      <c r="A91" s="178" t="str">
        <f>IF(E91&lt;&gt;"",IF(AND(B91='IN - TC'!$Q$4,OR(TH!K91="1111",TH!L91="1111")),TH!E91,""),"")</f>
        <v/>
      </c>
      <c r="B91" s="73">
        <f t="shared" si="10"/>
        <v>2014</v>
      </c>
      <c r="C91" s="73">
        <f t="shared" si="11"/>
        <v>7</v>
      </c>
      <c r="D91" s="74">
        <v>41834</v>
      </c>
      <c r="E91" s="74" t="s">
        <v>8</v>
      </c>
      <c r="F91" s="74">
        <v>41834</v>
      </c>
      <c r="G91" s="77" t="s">
        <v>353</v>
      </c>
      <c r="H91" s="180"/>
      <c r="I91" s="91" t="s">
        <v>57</v>
      </c>
      <c r="J91" s="75">
        <v>378779940</v>
      </c>
      <c r="K91" s="76" t="s">
        <v>9</v>
      </c>
      <c r="L91" s="76" t="s">
        <v>34</v>
      </c>
      <c r="M91" s="103" t="str">
        <f>IF(AND('331-CT'!$E$7=TH!I91,OR(K91="331",L91="331")),"x","")</f>
        <v/>
      </c>
      <c r="N91" s="103" t="str">
        <f>IF(AND($C91&gt;='1111'!$N$10,$C91&lt;='1111'!$O$10,OR($K91=$N$7,$L91=$N$7)),"x","")</f>
        <v/>
      </c>
      <c r="O91" s="103" t="str">
        <f>IF(AND($K91=$N$7,$C91&lt;'1111'!$N$10),"x","")</f>
        <v/>
      </c>
      <c r="P91" s="103" t="str">
        <f>IF(AND($L91=$N$7,$C91&lt;'1111'!$N$10),"x","")</f>
        <v/>
      </c>
      <c r="Q91" s="103" t="str">
        <f>IF(AND($C91&gt;='1121'!$N$9,$C91&lt;='1121'!$O$9,OR($K91=$Q$7,$L91=$Q$7)),"x","")</f>
        <v/>
      </c>
      <c r="R91" s="103" t="str">
        <f>IF(AND($K91=$Q$7,$C91&lt;'1121'!$N$9),"x","")</f>
        <v/>
      </c>
      <c r="S91" s="103" t="str">
        <f>IF(AND($L91=$Q$7,$C91&lt;'1121'!$N$9),"x","")</f>
        <v>x</v>
      </c>
      <c r="T91" s="103" t="str">
        <f>IF(AND($C91&gt;='1331'!$I$9,$C91&lt;='1331'!$J$9,OR($K91=$T$7,$L91=$T$7)),"x","")</f>
        <v/>
      </c>
      <c r="U91" s="103" t="str">
        <f>IF(AND($K91=$T$7,$C91&lt;'1331'!$I$9),"x","")</f>
        <v/>
      </c>
      <c r="V91" s="103" t="str">
        <f>IF(AND($L91=$T$7,$C91&lt;'1331'!$I$9),"x","")</f>
        <v/>
      </c>
      <c r="W91" s="103" t="str">
        <f>IF(AND('3411-CT'!$E$9=TH!I91,OR(TH!K91=TH!$W$7,L91=TH!$W$7)),"x","")</f>
        <v/>
      </c>
      <c r="X91" s="103" t="str">
        <f>IF(OR(TH!K91=TH!$X$7,L91=TH!$X$7),"x","")</f>
        <v/>
      </c>
    </row>
    <row r="92" spans="1:24" s="88" customFormat="1">
      <c r="A92" s="178" t="str">
        <f>IF(E92&lt;&gt;"",IF(AND(B92='IN - TC'!$Q$4,OR(TH!K92="1111",TH!L92="1111")),TH!E92,""),"")</f>
        <v>C11</v>
      </c>
      <c r="B92" s="73">
        <f t="shared" si="10"/>
        <v>2014</v>
      </c>
      <c r="C92" s="73">
        <f t="shared" si="11"/>
        <v>7</v>
      </c>
      <c r="D92" s="74">
        <v>41843</v>
      </c>
      <c r="E92" s="74" t="s">
        <v>92</v>
      </c>
      <c r="F92" s="74">
        <v>41843</v>
      </c>
      <c r="G92" s="80" t="s">
        <v>222</v>
      </c>
      <c r="H92" s="180"/>
      <c r="I92" s="91" t="s">
        <v>186</v>
      </c>
      <c r="J92" s="75">
        <v>20000000</v>
      </c>
      <c r="K92" s="79" t="s">
        <v>34</v>
      </c>
      <c r="L92" s="76" t="s">
        <v>120</v>
      </c>
      <c r="M92" s="103" t="str">
        <f>IF(AND('331-CT'!$E$7=TH!I92,OR(K92="331",L92="331")),"x","")</f>
        <v/>
      </c>
      <c r="N92" s="103" t="str">
        <f>IF(AND($C92&gt;='1111'!$N$10,$C92&lt;='1111'!$O$10,OR($K92=$N$7,$L92=$N$7)),"x","")</f>
        <v/>
      </c>
      <c r="O92" s="103" t="str">
        <f>IF(AND($K92=$N$7,$C92&lt;'1111'!$N$10),"x","")</f>
        <v/>
      </c>
      <c r="P92" s="103" t="str">
        <f>IF(AND($L92=$N$7,$C92&lt;'1111'!$N$10),"x","")</f>
        <v>x</v>
      </c>
      <c r="Q92" s="103" t="str">
        <f>IF(AND($C92&gt;='1121'!$N$9,$C92&lt;='1121'!$O$9,OR($K92=$Q$7,$L92=$Q$7)),"x","")</f>
        <v/>
      </c>
      <c r="R92" s="103" t="str">
        <f>IF(AND($K92=$Q$7,$C92&lt;'1121'!$N$9),"x","")</f>
        <v>x</v>
      </c>
      <c r="S92" s="103" t="str">
        <f>IF(AND($L92=$Q$7,$C92&lt;'1121'!$N$9),"x","")</f>
        <v/>
      </c>
      <c r="T92" s="103" t="str">
        <f>IF(AND($C92&gt;='1331'!$I$9,$C92&lt;='1331'!$J$9,OR($K92=$T$7,$L92=$T$7)),"x","")</f>
        <v/>
      </c>
      <c r="U92" s="103" t="str">
        <f>IF(AND($K92=$T$7,$C92&lt;'1331'!$I$9),"x","")</f>
        <v/>
      </c>
      <c r="V92" s="103" t="str">
        <f>IF(AND($L92=$T$7,$C92&lt;'1331'!$I$9),"x","")</f>
        <v/>
      </c>
      <c r="W92" s="103" t="str">
        <f>IF(AND('3411-CT'!$E$9=TH!I92,OR(TH!K92=TH!$W$7,L92=TH!$W$7)),"x","")</f>
        <v/>
      </c>
      <c r="X92" s="103" t="str">
        <f>IF(OR(TH!K92=TH!$X$7,L92=TH!$X$7),"x","")</f>
        <v/>
      </c>
    </row>
    <row r="93" spans="1:24" s="88" customFormat="1">
      <c r="A93" s="178" t="str">
        <f>IF(E93&lt;&gt;"",IF(AND(B93='IN - TC'!$Q$4,OR(TH!K93="1111",TH!L93="1111")),TH!E93,""),"")</f>
        <v/>
      </c>
      <c r="B93" s="73">
        <f t="shared" si="10"/>
        <v>2014</v>
      </c>
      <c r="C93" s="73">
        <f t="shared" si="11"/>
        <v>7</v>
      </c>
      <c r="D93" s="86">
        <v>41843</v>
      </c>
      <c r="E93" s="74" t="s">
        <v>8</v>
      </c>
      <c r="F93" s="74">
        <v>41843</v>
      </c>
      <c r="G93" s="77" t="s">
        <v>354</v>
      </c>
      <c r="H93" s="180"/>
      <c r="I93" s="91" t="s">
        <v>59</v>
      </c>
      <c r="J93" s="75">
        <v>20000000</v>
      </c>
      <c r="K93" s="76" t="s">
        <v>9</v>
      </c>
      <c r="L93" s="76" t="s">
        <v>34</v>
      </c>
      <c r="M93" s="103" t="str">
        <f>IF(AND('331-CT'!$E$7=TH!I93,OR(K93="331",L93="331")),"x","")</f>
        <v/>
      </c>
      <c r="N93" s="103" t="str">
        <f>IF(AND($C93&gt;='1111'!$N$10,$C93&lt;='1111'!$O$10,OR($K93=$N$7,$L93=$N$7)),"x","")</f>
        <v/>
      </c>
      <c r="O93" s="103" t="str">
        <f>IF(AND($K93=$N$7,$C93&lt;'1111'!$N$10),"x","")</f>
        <v/>
      </c>
      <c r="P93" s="103" t="str">
        <f>IF(AND($L93=$N$7,$C93&lt;'1111'!$N$10),"x","")</f>
        <v/>
      </c>
      <c r="Q93" s="103" t="str">
        <f>IF(AND($C93&gt;='1121'!$N$9,$C93&lt;='1121'!$O$9,OR($K93=$Q$7,$L93=$Q$7)),"x","")</f>
        <v/>
      </c>
      <c r="R93" s="103" t="str">
        <f>IF(AND($K93=$Q$7,$C93&lt;'1121'!$N$9),"x","")</f>
        <v/>
      </c>
      <c r="S93" s="103" t="str">
        <f>IF(AND($L93=$Q$7,$C93&lt;'1121'!$N$9),"x","")</f>
        <v>x</v>
      </c>
      <c r="T93" s="103" t="str">
        <f>IF(AND($C93&gt;='1331'!$I$9,$C93&lt;='1331'!$J$9,OR($K93=$T$7,$L93=$T$7)),"x","")</f>
        <v/>
      </c>
      <c r="U93" s="103" t="str">
        <f>IF(AND($K93=$T$7,$C93&lt;'1331'!$I$9),"x","")</f>
        <v/>
      </c>
      <c r="V93" s="103" t="str">
        <f>IF(AND($L93=$T$7,$C93&lt;'1331'!$I$9),"x","")</f>
        <v/>
      </c>
      <c r="W93" s="103" t="str">
        <f>IF(AND('3411-CT'!$E$9=TH!I93,OR(TH!K93=TH!$W$7,L93=TH!$W$7)),"x","")</f>
        <v/>
      </c>
      <c r="X93" s="103" t="str">
        <f>IF(OR(TH!K93=TH!$X$7,L93=TH!$X$7),"x","")</f>
        <v/>
      </c>
    </row>
    <row r="94" spans="1:24" s="88" customFormat="1">
      <c r="A94" s="178" t="str">
        <f>IF(E94&lt;&gt;"",IF(AND(B94='IN - TC'!$Q$4,OR(TH!K94="1111",TH!L94="1111")),TH!E94,""),"")</f>
        <v/>
      </c>
      <c r="B94" s="98">
        <f t="shared" si="10"/>
        <v>2014</v>
      </c>
      <c r="C94" s="98">
        <f t="shared" si="11"/>
        <v>7</v>
      </c>
      <c r="D94" s="99">
        <v>41843</v>
      </c>
      <c r="E94" s="99" t="s">
        <v>8</v>
      </c>
      <c r="F94" s="99">
        <v>41843</v>
      </c>
      <c r="G94" s="100" t="s">
        <v>21</v>
      </c>
      <c r="H94" s="183"/>
      <c r="I94" s="101"/>
      <c r="J94" s="102">
        <v>45000</v>
      </c>
      <c r="K94" s="103" t="s">
        <v>159</v>
      </c>
      <c r="L94" s="103" t="s">
        <v>34</v>
      </c>
      <c r="M94" s="103" t="str">
        <f>IF(AND('331-CT'!$E$7=TH!I94,OR(K94="331",L94="331")),"x","")</f>
        <v/>
      </c>
      <c r="N94" s="103" t="str">
        <f>IF(AND($C94&gt;='1111'!$N$10,$C94&lt;='1111'!$O$10,OR($K94=$N$7,$L94=$N$7)),"x","")</f>
        <v/>
      </c>
      <c r="O94" s="103" t="str">
        <f>IF(AND($K94=$N$7,$C94&lt;'1111'!$N$10),"x","")</f>
        <v/>
      </c>
      <c r="P94" s="103" t="str">
        <f>IF(AND($L94=$N$7,$C94&lt;'1111'!$N$10),"x","")</f>
        <v/>
      </c>
      <c r="Q94" s="103" t="str">
        <f>IF(AND($C94&gt;='1121'!$N$9,$C94&lt;='1121'!$O$9,OR($K94=$Q$7,$L94=$Q$7)),"x","")</f>
        <v/>
      </c>
      <c r="R94" s="103" t="str">
        <f>IF(AND($K94=$Q$7,$C94&lt;'1121'!$N$9),"x","")</f>
        <v/>
      </c>
      <c r="S94" s="103" t="str">
        <f>IF(AND($L94=$Q$7,$C94&lt;'1121'!$N$9),"x","")</f>
        <v>x</v>
      </c>
      <c r="T94" s="103" t="str">
        <f>IF(AND($C94&gt;='1331'!$I$9,$C94&lt;='1331'!$J$9,OR($K94=$T$7,$L94=$T$7)),"x","")</f>
        <v/>
      </c>
      <c r="U94" s="103" t="str">
        <f>IF(AND($K94=$T$7,$C94&lt;'1331'!$I$9),"x","")</f>
        <v/>
      </c>
      <c r="V94" s="103" t="str">
        <f>IF(AND($L94=$T$7,$C94&lt;'1331'!$I$9),"x","")</f>
        <v/>
      </c>
      <c r="W94" s="103" t="str">
        <f>IF(AND('3411-CT'!$E$9=TH!I94,OR(TH!K94=TH!$W$7,L94=TH!$W$7)),"x","")</f>
        <v/>
      </c>
      <c r="X94" s="103" t="str">
        <f>IF(OR(TH!K94=TH!$X$7,L94=TH!$X$7),"x","")</f>
        <v/>
      </c>
    </row>
    <row r="95" spans="1:24" s="88" customFormat="1">
      <c r="A95" s="178" t="str">
        <f>IF(E95&lt;&gt;"",IF(AND(B95='IN - TC'!$Q$4,OR(TH!K95="1111",TH!L95="1111")),TH!E95,""),"")</f>
        <v/>
      </c>
      <c r="B95" s="98">
        <f t="shared" si="10"/>
        <v>2014</v>
      </c>
      <c r="C95" s="98">
        <f t="shared" si="11"/>
        <v>7</v>
      </c>
      <c r="D95" s="99">
        <v>41843</v>
      </c>
      <c r="E95" s="99" t="s">
        <v>8</v>
      </c>
      <c r="F95" s="99">
        <v>41843</v>
      </c>
      <c r="G95" s="100" t="s">
        <v>22</v>
      </c>
      <c r="H95" s="183"/>
      <c r="I95" s="101"/>
      <c r="J95" s="102">
        <v>4500</v>
      </c>
      <c r="K95" s="103" t="s">
        <v>10</v>
      </c>
      <c r="L95" s="103" t="s">
        <v>34</v>
      </c>
      <c r="M95" s="103" t="str">
        <f>IF(AND('331-CT'!$E$7=TH!I95,OR(K95="331",L95="331")),"x","")</f>
        <v/>
      </c>
      <c r="N95" s="103" t="str">
        <f>IF(AND($C95&gt;='1111'!$N$10,$C95&lt;='1111'!$O$10,OR($K95=$N$7,$L95=$N$7)),"x","")</f>
        <v/>
      </c>
      <c r="O95" s="103" t="str">
        <f>IF(AND($K95=$N$7,$C95&lt;'1111'!$N$10),"x","")</f>
        <v/>
      </c>
      <c r="P95" s="103" t="str">
        <f>IF(AND($L95=$N$7,$C95&lt;'1111'!$N$10),"x","")</f>
        <v/>
      </c>
      <c r="Q95" s="103" t="str">
        <f>IF(AND($C95&gt;='1121'!$N$9,$C95&lt;='1121'!$O$9,OR($K95=$Q$7,$L95=$Q$7)),"x","")</f>
        <v/>
      </c>
      <c r="R95" s="103" t="str">
        <f>IF(AND($K95=$Q$7,$C95&lt;'1121'!$N$9),"x","")</f>
        <v/>
      </c>
      <c r="S95" s="103" t="str">
        <f>IF(AND($L95=$Q$7,$C95&lt;'1121'!$N$9),"x","")</f>
        <v>x</v>
      </c>
      <c r="T95" s="103" t="str">
        <f>IF(AND($C95&gt;='1331'!$I$9,$C95&lt;='1331'!$J$9,OR($K95=$T$7,$L95=$T$7)),"x","")</f>
        <v/>
      </c>
      <c r="U95" s="103" t="str">
        <f>IF(AND($K95=$T$7,$C95&lt;'1331'!$I$9),"x","")</f>
        <v/>
      </c>
      <c r="V95" s="103" t="str">
        <f>IF(AND($L95=$T$7,$C95&lt;'1331'!$I$9),"x","")</f>
        <v/>
      </c>
      <c r="W95" s="103" t="str">
        <f>IF(AND('3411-CT'!$E$9=TH!I95,OR(TH!K95=TH!$W$7,L95=TH!$W$7)),"x","")</f>
        <v/>
      </c>
      <c r="X95" s="103" t="str">
        <f>IF(OR(TH!K95=TH!$X$7,L95=TH!$X$7),"x","")</f>
        <v/>
      </c>
    </row>
    <row r="96" spans="1:24" s="88" customFormat="1">
      <c r="A96" s="178" t="str">
        <f>IF(E96&lt;&gt;"",IF(AND(B96='IN - TC'!$Q$4,OR(TH!K96="1111",TH!L96="1111")),TH!E96,""),"")</f>
        <v>C12</v>
      </c>
      <c r="B96" s="73">
        <f t="shared" si="10"/>
        <v>2014</v>
      </c>
      <c r="C96" s="73">
        <f t="shared" si="11"/>
        <v>7</v>
      </c>
      <c r="D96" s="86">
        <v>41851</v>
      </c>
      <c r="E96" s="74" t="s">
        <v>93</v>
      </c>
      <c r="F96" s="74">
        <v>41851</v>
      </c>
      <c r="G96" s="77" t="s">
        <v>223</v>
      </c>
      <c r="H96" s="180"/>
      <c r="I96" s="91" t="s">
        <v>184</v>
      </c>
      <c r="J96" s="75">
        <v>50000000</v>
      </c>
      <c r="K96" s="76" t="s">
        <v>23</v>
      </c>
      <c r="L96" s="76" t="s">
        <v>120</v>
      </c>
      <c r="M96" s="103" t="str">
        <f>IF(AND('331-CT'!$E$7=TH!I96,OR(K96="331",L96="331")),"x","")</f>
        <v/>
      </c>
      <c r="N96" s="103" t="str">
        <f>IF(AND($C96&gt;='1111'!$N$10,$C96&lt;='1111'!$O$10,OR($K96=$N$7,$L96=$N$7)),"x","")</f>
        <v/>
      </c>
      <c r="O96" s="103" t="str">
        <f>IF(AND($K96=$N$7,$C96&lt;'1111'!$N$10),"x","")</f>
        <v/>
      </c>
      <c r="P96" s="103" t="str">
        <f>IF(AND($L96=$N$7,$C96&lt;'1111'!$N$10),"x","")</f>
        <v>x</v>
      </c>
      <c r="Q96" s="103" t="str">
        <f>IF(AND($C96&gt;='1121'!$N$9,$C96&lt;='1121'!$O$9,OR($K96=$Q$7,$L96=$Q$7)),"x","")</f>
        <v/>
      </c>
      <c r="R96" s="103" t="str">
        <f>IF(AND($K96=$Q$7,$C96&lt;'1121'!$N$9),"x","")</f>
        <v/>
      </c>
      <c r="S96" s="103" t="str">
        <f>IF(AND($L96=$Q$7,$C96&lt;'1121'!$N$9),"x","")</f>
        <v/>
      </c>
      <c r="T96" s="103" t="str">
        <f>IF(AND($C96&gt;='1331'!$I$9,$C96&lt;='1331'!$J$9,OR($K96=$T$7,$L96=$T$7)),"x","")</f>
        <v/>
      </c>
      <c r="U96" s="103" t="str">
        <f>IF(AND($K96=$T$7,$C96&lt;'1331'!$I$9),"x","")</f>
        <v/>
      </c>
      <c r="V96" s="103" t="str">
        <f>IF(AND($L96=$T$7,$C96&lt;'1331'!$I$9),"x","")</f>
        <v/>
      </c>
      <c r="W96" s="103" t="str">
        <f>IF(AND('3411-CT'!$E$9=TH!I96,OR(TH!K96=TH!$W$7,L96=TH!$W$7)),"x","")</f>
        <v/>
      </c>
      <c r="X96" s="103" t="str">
        <f>IF(OR(TH!K96=TH!$X$7,L96=TH!$X$7),"x","")</f>
        <v/>
      </c>
    </row>
    <row r="97" spans="1:24" s="88" customFormat="1">
      <c r="A97" s="178" t="str">
        <f>IF(E97&lt;&gt;"",IF(AND(B97='IN - TC'!$Q$4,OR(TH!K97="1111",TH!L97="1111")),TH!E97,""),"")</f>
        <v/>
      </c>
      <c r="B97" s="73">
        <f t="shared" si="10"/>
        <v>2014</v>
      </c>
      <c r="C97" s="73">
        <f t="shared" si="11"/>
        <v>7</v>
      </c>
      <c r="D97" s="74">
        <v>41851</v>
      </c>
      <c r="E97" s="74" t="s">
        <v>11</v>
      </c>
      <c r="F97" s="74">
        <v>41851</v>
      </c>
      <c r="G97" s="77" t="s">
        <v>27</v>
      </c>
      <c r="H97" s="180"/>
      <c r="I97" s="91" t="s">
        <v>184</v>
      </c>
      <c r="J97" s="75">
        <v>50000000</v>
      </c>
      <c r="K97" s="76" t="s">
        <v>34</v>
      </c>
      <c r="L97" s="76" t="s">
        <v>23</v>
      </c>
      <c r="M97" s="103" t="str">
        <f>IF(AND('331-CT'!$E$7=TH!I97,OR(K97="331",L97="331")),"x","")</f>
        <v/>
      </c>
      <c r="N97" s="103" t="str">
        <f>IF(AND($C97&gt;='1111'!$N$10,$C97&lt;='1111'!$O$10,OR($K97=$N$7,$L97=$N$7)),"x","")</f>
        <v/>
      </c>
      <c r="O97" s="103" t="str">
        <f>IF(AND($K97=$N$7,$C97&lt;'1111'!$N$10),"x","")</f>
        <v/>
      </c>
      <c r="P97" s="103" t="str">
        <f>IF(AND($L97=$N$7,$C97&lt;'1111'!$N$10),"x","")</f>
        <v/>
      </c>
      <c r="Q97" s="103" t="str">
        <f>IF(AND($C97&gt;='1121'!$N$9,$C97&lt;='1121'!$O$9,OR($K97=$Q$7,$L97=$Q$7)),"x","")</f>
        <v/>
      </c>
      <c r="R97" s="103" t="str">
        <f>IF(AND($K97=$Q$7,$C97&lt;'1121'!$N$9),"x","")</f>
        <v>x</v>
      </c>
      <c r="S97" s="103" t="str">
        <f>IF(AND($L97=$Q$7,$C97&lt;'1121'!$N$9),"x","")</f>
        <v/>
      </c>
      <c r="T97" s="103" t="str">
        <f>IF(AND($C97&gt;='1331'!$I$9,$C97&lt;='1331'!$J$9,OR($K97=$T$7,$L97=$T$7)),"x","")</f>
        <v/>
      </c>
      <c r="U97" s="103" t="str">
        <f>IF(AND($K97=$T$7,$C97&lt;'1331'!$I$9),"x","")</f>
        <v/>
      </c>
      <c r="V97" s="103" t="str">
        <f>IF(AND($L97=$T$7,$C97&lt;'1331'!$I$9),"x","")</f>
        <v/>
      </c>
      <c r="W97" s="103" t="str">
        <f>IF(AND('3411-CT'!$E$9=TH!I97,OR(TH!K97=TH!$W$7,L97=TH!$W$7)),"x","")</f>
        <v/>
      </c>
      <c r="X97" s="103" t="str">
        <f>IF(OR(TH!K97=TH!$X$7,L97=TH!$X$7),"x","")</f>
        <v/>
      </c>
    </row>
    <row r="98" spans="1:24" s="88" customFormat="1">
      <c r="A98" s="178" t="str">
        <f>IF(E98&lt;&gt;"",IF(AND(B98='IN - TC'!$Q$4,OR(TH!K98="1111",TH!L98="1111")),TH!E98,""),"")</f>
        <v/>
      </c>
      <c r="B98" s="73">
        <f t="shared" si="10"/>
        <v>2014</v>
      </c>
      <c r="C98" s="73">
        <f t="shared" si="11"/>
        <v>7</v>
      </c>
      <c r="D98" s="86">
        <v>41851</v>
      </c>
      <c r="E98" s="74" t="s">
        <v>8</v>
      </c>
      <c r="F98" s="74">
        <v>41851</v>
      </c>
      <c r="G98" s="77" t="s">
        <v>354</v>
      </c>
      <c r="H98" s="180"/>
      <c r="I98" s="91" t="s">
        <v>59</v>
      </c>
      <c r="J98" s="75">
        <v>50000000</v>
      </c>
      <c r="K98" s="76" t="s">
        <v>9</v>
      </c>
      <c r="L98" s="76" t="s">
        <v>34</v>
      </c>
      <c r="M98" s="103" t="str">
        <f>IF(AND('331-CT'!$E$7=TH!I98,OR(K98="331",L98="331")),"x","")</f>
        <v/>
      </c>
      <c r="N98" s="103" t="str">
        <f>IF(AND($C98&gt;='1111'!$N$10,$C98&lt;='1111'!$O$10,OR($K98=$N$7,$L98=$N$7)),"x","")</f>
        <v/>
      </c>
      <c r="O98" s="103" t="str">
        <f>IF(AND($K98=$N$7,$C98&lt;'1111'!$N$10),"x","")</f>
        <v/>
      </c>
      <c r="P98" s="103" t="str">
        <f>IF(AND($L98=$N$7,$C98&lt;'1111'!$N$10),"x","")</f>
        <v/>
      </c>
      <c r="Q98" s="103" t="str">
        <f>IF(AND($C98&gt;='1121'!$N$9,$C98&lt;='1121'!$O$9,OR($K98=$Q$7,$L98=$Q$7)),"x","")</f>
        <v/>
      </c>
      <c r="R98" s="103" t="str">
        <f>IF(AND($K98=$Q$7,$C98&lt;'1121'!$N$9),"x","")</f>
        <v/>
      </c>
      <c r="S98" s="103" t="str">
        <f>IF(AND($L98=$Q$7,$C98&lt;'1121'!$N$9),"x","")</f>
        <v>x</v>
      </c>
      <c r="T98" s="103" t="str">
        <f>IF(AND($C98&gt;='1331'!$I$9,$C98&lt;='1331'!$J$9,OR($K98=$T$7,$L98=$T$7)),"x","")</f>
        <v/>
      </c>
      <c r="U98" s="103" t="str">
        <f>IF(AND($K98=$T$7,$C98&lt;'1331'!$I$9),"x","")</f>
        <v/>
      </c>
      <c r="V98" s="103" t="str">
        <f>IF(AND($L98=$T$7,$C98&lt;'1331'!$I$9),"x","")</f>
        <v/>
      </c>
      <c r="W98" s="103" t="str">
        <f>IF(AND('3411-CT'!$E$9=TH!I98,OR(TH!K98=TH!$W$7,L98=TH!$W$7)),"x","")</f>
        <v/>
      </c>
      <c r="X98" s="103" t="str">
        <f>IF(OR(TH!K98=TH!$X$7,L98=TH!$X$7),"x","")</f>
        <v/>
      </c>
    </row>
    <row r="99" spans="1:24" s="88" customFormat="1">
      <c r="A99" s="178" t="str">
        <f>IF(E99&lt;&gt;"",IF(AND(B99='IN - TC'!$Q$4,OR(TH!K99="1111",TH!L99="1111")),TH!E99,""),"")</f>
        <v/>
      </c>
      <c r="B99" s="73">
        <f t="shared" si="10"/>
        <v>2014</v>
      </c>
      <c r="C99" s="73">
        <f t="shared" si="11"/>
        <v>7</v>
      </c>
      <c r="D99" s="74">
        <v>41851</v>
      </c>
      <c r="E99" s="74" t="s">
        <v>8</v>
      </c>
      <c r="F99" s="74">
        <v>41851</v>
      </c>
      <c r="G99" s="77" t="s">
        <v>21</v>
      </c>
      <c r="H99" s="180"/>
      <c r="I99" s="91"/>
      <c r="J99" s="75">
        <v>25000</v>
      </c>
      <c r="K99" s="76" t="s">
        <v>159</v>
      </c>
      <c r="L99" s="76" t="s">
        <v>34</v>
      </c>
      <c r="M99" s="103" t="str">
        <f>IF(AND('331-CT'!$E$7=TH!I99,OR(K99="331",L99="331")),"x","")</f>
        <v/>
      </c>
      <c r="N99" s="103" t="str">
        <f>IF(AND($C99&gt;='1111'!$N$10,$C99&lt;='1111'!$O$10,OR($K99=$N$7,$L99=$N$7)),"x","")</f>
        <v/>
      </c>
      <c r="O99" s="103" t="str">
        <f>IF(AND($K99=$N$7,$C99&lt;'1111'!$N$10),"x","")</f>
        <v/>
      </c>
      <c r="P99" s="103" t="str">
        <f>IF(AND($L99=$N$7,$C99&lt;'1111'!$N$10),"x","")</f>
        <v/>
      </c>
      <c r="Q99" s="103" t="str">
        <f>IF(AND($C99&gt;='1121'!$N$9,$C99&lt;='1121'!$O$9,OR($K99=$Q$7,$L99=$Q$7)),"x","")</f>
        <v/>
      </c>
      <c r="R99" s="103" t="str">
        <f>IF(AND($K99=$Q$7,$C99&lt;'1121'!$N$9),"x","")</f>
        <v/>
      </c>
      <c r="S99" s="103" t="str">
        <f>IF(AND($L99=$Q$7,$C99&lt;'1121'!$N$9),"x","")</f>
        <v>x</v>
      </c>
      <c r="T99" s="103" t="str">
        <f>IF(AND($C99&gt;='1331'!$I$9,$C99&lt;='1331'!$J$9,OR($K99=$T$7,$L99=$T$7)),"x","")</f>
        <v/>
      </c>
      <c r="U99" s="103" t="str">
        <f>IF(AND($K99=$T$7,$C99&lt;'1331'!$I$9),"x","")</f>
        <v/>
      </c>
      <c r="V99" s="103" t="str">
        <f>IF(AND($L99=$T$7,$C99&lt;'1331'!$I$9),"x","")</f>
        <v/>
      </c>
      <c r="W99" s="103" t="str">
        <f>IF(AND('3411-CT'!$E$9=TH!I99,OR(TH!K99=TH!$W$7,L99=TH!$W$7)),"x","")</f>
        <v/>
      </c>
      <c r="X99" s="103" t="str">
        <f>IF(OR(TH!K99=TH!$X$7,L99=TH!$X$7),"x","")</f>
        <v/>
      </c>
    </row>
    <row r="100" spans="1:24" s="88" customFormat="1">
      <c r="A100" s="178" t="str">
        <f>IF(E100&lt;&gt;"",IF(AND(B100='IN - TC'!$Q$4,OR(TH!K100="1111",TH!L100="1111")),TH!E100,""),"")</f>
        <v/>
      </c>
      <c r="B100" s="73">
        <f t="shared" si="10"/>
        <v>2014</v>
      </c>
      <c r="C100" s="73">
        <f t="shared" si="11"/>
        <v>7</v>
      </c>
      <c r="D100" s="74">
        <v>41851</v>
      </c>
      <c r="E100" s="74" t="s">
        <v>8</v>
      </c>
      <c r="F100" s="74">
        <v>41851</v>
      </c>
      <c r="G100" s="77" t="s">
        <v>22</v>
      </c>
      <c r="H100" s="180"/>
      <c r="I100" s="93"/>
      <c r="J100" s="75">
        <v>2500</v>
      </c>
      <c r="K100" s="76" t="s">
        <v>10</v>
      </c>
      <c r="L100" s="76" t="s">
        <v>34</v>
      </c>
      <c r="M100" s="103" t="str">
        <f>IF(AND('331-CT'!$E$7=TH!I100,OR(K100="331",L100="331")),"x","")</f>
        <v/>
      </c>
      <c r="N100" s="103" t="str">
        <f>IF(AND($C100&gt;='1111'!$N$10,$C100&lt;='1111'!$O$10,OR($K100=$N$7,$L100=$N$7)),"x","")</f>
        <v/>
      </c>
      <c r="O100" s="103" t="str">
        <f>IF(AND($K100=$N$7,$C100&lt;'1111'!$N$10),"x","")</f>
        <v/>
      </c>
      <c r="P100" s="103" t="str">
        <f>IF(AND($L100=$N$7,$C100&lt;'1111'!$N$10),"x","")</f>
        <v/>
      </c>
      <c r="Q100" s="103" t="str">
        <f>IF(AND($C100&gt;='1121'!$N$9,$C100&lt;='1121'!$O$9,OR($K100=$Q$7,$L100=$Q$7)),"x","")</f>
        <v/>
      </c>
      <c r="R100" s="103" t="str">
        <f>IF(AND($K100=$Q$7,$C100&lt;'1121'!$N$9),"x","")</f>
        <v/>
      </c>
      <c r="S100" s="103" t="str">
        <f>IF(AND($L100=$Q$7,$C100&lt;'1121'!$N$9),"x","")</f>
        <v>x</v>
      </c>
      <c r="T100" s="103" t="str">
        <f>IF(AND($C100&gt;='1331'!$I$9,$C100&lt;='1331'!$J$9,OR($K100=$T$7,$L100=$T$7)),"x","")</f>
        <v/>
      </c>
      <c r="U100" s="103" t="str">
        <f>IF(AND($K100=$T$7,$C100&lt;'1331'!$I$9),"x","")</f>
        <v/>
      </c>
      <c r="V100" s="103" t="str">
        <f>IF(AND($L100=$T$7,$C100&lt;'1331'!$I$9),"x","")</f>
        <v/>
      </c>
      <c r="W100" s="103" t="str">
        <f>IF(AND('3411-CT'!$E$9=TH!I100,OR(TH!K100=TH!$W$7,L100=TH!$W$7)),"x","")</f>
        <v/>
      </c>
      <c r="X100" s="103" t="str">
        <f>IF(OR(TH!K100=TH!$X$7,L100=TH!$X$7),"x","")</f>
        <v/>
      </c>
    </row>
    <row r="101" spans="1:24" s="88" customFormat="1">
      <c r="A101" s="178" t="str">
        <f>IF(E101&lt;&gt;"",IF(AND(B101='IN - TC'!$Q$4,OR(TH!K101="1111",TH!L101="1111")),TH!E101,""),"")</f>
        <v>C13</v>
      </c>
      <c r="B101" s="73">
        <f t="shared" si="10"/>
        <v>2014</v>
      </c>
      <c r="C101" s="73">
        <f t="shared" si="11"/>
        <v>8</v>
      </c>
      <c r="D101" s="74">
        <v>41857</v>
      </c>
      <c r="E101" s="74" t="s">
        <v>94</v>
      </c>
      <c r="F101" s="74">
        <v>41857</v>
      </c>
      <c r="G101" s="77" t="s">
        <v>223</v>
      </c>
      <c r="H101" s="180"/>
      <c r="I101" s="93" t="s">
        <v>184</v>
      </c>
      <c r="J101" s="75">
        <v>50000000</v>
      </c>
      <c r="K101" s="76" t="s">
        <v>23</v>
      </c>
      <c r="L101" s="76" t="s">
        <v>120</v>
      </c>
      <c r="M101" s="103" t="str">
        <f>IF(AND('331-CT'!$E$7=TH!I101,OR(K101="331",L101="331")),"x","")</f>
        <v/>
      </c>
      <c r="N101" s="103" t="str">
        <f>IF(AND($C101&gt;='1111'!$N$10,$C101&lt;='1111'!$O$10,OR($K101=$N$7,$L101=$N$7)),"x","")</f>
        <v/>
      </c>
      <c r="O101" s="103" t="str">
        <f>IF(AND($K101=$N$7,$C101&lt;'1111'!$N$10),"x","")</f>
        <v/>
      </c>
      <c r="P101" s="103" t="str">
        <f>IF(AND($L101=$N$7,$C101&lt;'1111'!$N$10),"x","")</f>
        <v>x</v>
      </c>
      <c r="Q101" s="103" t="str">
        <f>IF(AND($C101&gt;='1121'!$N$9,$C101&lt;='1121'!$O$9,OR($K101=$Q$7,$L101=$Q$7)),"x","")</f>
        <v/>
      </c>
      <c r="R101" s="103" t="str">
        <f>IF(AND($K101=$Q$7,$C101&lt;'1121'!$N$9),"x","")</f>
        <v/>
      </c>
      <c r="S101" s="103" t="str">
        <f>IF(AND($L101=$Q$7,$C101&lt;'1121'!$N$9),"x","")</f>
        <v/>
      </c>
      <c r="T101" s="103" t="str">
        <f>IF(AND($C101&gt;='1331'!$I$9,$C101&lt;='1331'!$J$9,OR($K101=$T$7,$L101=$T$7)),"x","")</f>
        <v/>
      </c>
      <c r="U101" s="103" t="str">
        <f>IF(AND($K101=$T$7,$C101&lt;'1331'!$I$9),"x","")</f>
        <v/>
      </c>
      <c r="V101" s="103" t="str">
        <f>IF(AND($L101=$T$7,$C101&lt;'1331'!$I$9),"x","")</f>
        <v/>
      </c>
      <c r="W101" s="103" t="str">
        <f>IF(AND('3411-CT'!$E$9=TH!I101,OR(TH!K101=TH!$W$7,L101=TH!$W$7)),"x","")</f>
        <v/>
      </c>
      <c r="X101" s="103" t="str">
        <f>IF(OR(TH!K101=TH!$X$7,L101=TH!$X$7),"x","")</f>
        <v/>
      </c>
    </row>
    <row r="102" spans="1:24" s="88" customFormat="1">
      <c r="A102" s="178" t="str">
        <f>IF(E102&lt;&gt;"",IF(AND(B102='IN - TC'!$Q$4,OR(TH!K102="1111",TH!L102="1111")),TH!E102,""),"")</f>
        <v/>
      </c>
      <c r="B102" s="73">
        <f t="shared" si="10"/>
        <v>2014</v>
      </c>
      <c r="C102" s="73">
        <f t="shared" si="11"/>
        <v>8</v>
      </c>
      <c r="D102" s="86">
        <v>41857</v>
      </c>
      <c r="E102" s="74" t="s">
        <v>11</v>
      </c>
      <c r="F102" s="74">
        <v>41857</v>
      </c>
      <c r="G102" s="77" t="s">
        <v>27</v>
      </c>
      <c r="H102" s="180"/>
      <c r="I102" s="91" t="s">
        <v>184</v>
      </c>
      <c r="J102" s="75">
        <v>50000000</v>
      </c>
      <c r="K102" s="76" t="s">
        <v>34</v>
      </c>
      <c r="L102" s="76" t="s">
        <v>23</v>
      </c>
      <c r="M102" s="103" t="str">
        <f>IF(AND('331-CT'!$E$7=TH!I102,OR(K102="331",L102="331")),"x","")</f>
        <v/>
      </c>
      <c r="N102" s="103" t="str">
        <f>IF(AND($C102&gt;='1111'!$N$10,$C102&lt;='1111'!$O$10,OR($K102=$N$7,$L102=$N$7)),"x","")</f>
        <v/>
      </c>
      <c r="O102" s="103" t="str">
        <f>IF(AND($K102=$N$7,$C102&lt;'1111'!$N$10),"x","")</f>
        <v/>
      </c>
      <c r="P102" s="103" t="str">
        <f>IF(AND($L102=$N$7,$C102&lt;'1111'!$N$10),"x","")</f>
        <v/>
      </c>
      <c r="Q102" s="103" t="str">
        <f>IF(AND($C102&gt;='1121'!$N$9,$C102&lt;='1121'!$O$9,OR($K102=$Q$7,$L102=$Q$7)),"x","")</f>
        <v/>
      </c>
      <c r="R102" s="103" t="str">
        <f>IF(AND($K102=$Q$7,$C102&lt;'1121'!$N$9),"x","")</f>
        <v>x</v>
      </c>
      <c r="S102" s="103" t="str">
        <f>IF(AND($L102=$Q$7,$C102&lt;'1121'!$N$9),"x","")</f>
        <v/>
      </c>
      <c r="T102" s="103" t="str">
        <f>IF(AND($C102&gt;='1331'!$I$9,$C102&lt;='1331'!$J$9,OR($K102=$T$7,$L102=$T$7)),"x","")</f>
        <v/>
      </c>
      <c r="U102" s="103" t="str">
        <f>IF(AND($K102=$T$7,$C102&lt;'1331'!$I$9),"x","")</f>
        <v/>
      </c>
      <c r="V102" s="103" t="str">
        <f>IF(AND($L102=$T$7,$C102&lt;'1331'!$I$9),"x","")</f>
        <v/>
      </c>
      <c r="W102" s="103" t="str">
        <f>IF(AND('3411-CT'!$E$9=TH!I102,OR(TH!K102=TH!$W$7,L102=TH!$W$7)),"x","")</f>
        <v/>
      </c>
      <c r="X102" s="103" t="str">
        <f>IF(OR(TH!K102=TH!$X$7,L102=TH!$X$7),"x","")</f>
        <v/>
      </c>
    </row>
    <row r="103" spans="1:24" s="88" customFormat="1">
      <c r="A103" s="178" t="str">
        <f>IF(E103&lt;&gt;"",IF(AND(B103='IN - TC'!$Q$4,OR(TH!K103="1111",TH!L103="1111")),TH!E103,""),"")</f>
        <v/>
      </c>
      <c r="B103" s="73">
        <f t="shared" si="10"/>
        <v>2014</v>
      </c>
      <c r="C103" s="73">
        <f t="shared" si="11"/>
        <v>8</v>
      </c>
      <c r="D103" s="86">
        <v>41857</v>
      </c>
      <c r="E103" s="74" t="s">
        <v>8</v>
      </c>
      <c r="F103" s="74">
        <v>41857</v>
      </c>
      <c r="G103" s="77" t="s">
        <v>354</v>
      </c>
      <c r="H103" s="180"/>
      <c r="I103" s="93" t="s">
        <v>59</v>
      </c>
      <c r="J103" s="75">
        <v>50000000</v>
      </c>
      <c r="K103" s="76" t="s">
        <v>9</v>
      </c>
      <c r="L103" s="76" t="s">
        <v>34</v>
      </c>
      <c r="M103" s="103" t="str">
        <f>IF(AND('331-CT'!$E$7=TH!I103,OR(K103="331",L103="331")),"x","")</f>
        <v/>
      </c>
      <c r="N103" s="103" t="str">
        <f>IF(AND($C103&gt;='1111'!$N$10,$C103&lt;='1111'!$O$10,OR($K103=$N$7,$L103=$N$7)),"x","")</f>
        <v/>
      </c>
      <c r="O103" s="103" t="str">
        <f>IF(AND($K103=$N$7,$C103&lt;'1111'!$N$10),"x","")</f>
        <v/>
      </c>
      <c r="P103" s="103" t="str">
        <f>IF(AND($L103=$N$7,$C103&lt;'1111'!$N$10),"x","")</f>
        <v/>
      </c>
      <c r="Q103" s="103" t="str">
        <f>IF(AND($C103&gt;='1121'!$N$9,$C103&lt;='1121'!$O$9,OR($K103=$Q$7,$L103=$Q$7)),"x","")</f>
        <v/>
      </c>
      <c r="R103" s="103" t="str">
        <f>IF(AND($K103=$Q$7,$C103&lt;'1121'!$N$9),"x","")</f>
        <v/>
      </c>
      <c r="S103" s="103" t="str">
        <f>IF(AND($L103=$Q$7,$C103&lt;'1121'!$N$9),"x","")</f>
        <v>x</v>
      </c>
      <c r="T103" s="103" t="str">
        <f>IF(AND($C103&gt;='1331'!$I$9,$C103&lt;='1331'!$J$9,OR($K103=$T$7,$L103=$T$7)),"x","")</f>
        <v/>
      </c>
      <c r="U103" s="103" t="str">
        <f>IF(AND($K103=$T$7,$C103&lt;'1331'!$I$9),"x","")</f>
        <v/>
      </c>
      <c r="V103" s="103" t="str">
        <f>IF(AND($L103=$T$7,$C103&lt;'1331'!$I$9),"x","")</f>
        <v/>
      </c>
      <c r="W103" s="103" t="str">
        <f>IF(AND('3411-CT'!$E$9=TH!I103,OR(TH!K103=TH!$W$7,L103=TH!$W$7)),"x","")</f>
        <v/>
      </c>
      <c r="X103" s="103" t="str">
        <f>IF(OR(TH!K103=TH!$X$7,L103=TH!$X$7),"x","")</f>
        <v/>
      </c>
    </row>
    <row r="104" spans="1:24" s="88" customFormat="1">
      <c r="A104" s="178" t="str">
        <f>IF(E104&lt;&gt;"",IF(AND(B104='IN - TC'!$Q$4,OR(TH!K104="1111",TH!L104="1111")),TH!E104,""),"")</f>
        <v/>
      </c>
      <c r="B104" s="73">
        <f t="shared" si="10"/>
        <v>2014</v>
      </c>
      <c r="C104" s="73">
        <f t="shared" si="11"/>
        <v>8</v>
      </c>
      <c r="D104" s="74">
        <v>41857</v>
      </c>
      <c r="E104" s="74" t="s">
        <v>8</v>
      </c>
      <c r="F104" s="74">
        <v>41857</v>
      </c>
      <c r="G104" s="77" t="s">
        <v>21</v>
      </c>
      <c r="H104" s="180"/>
      <c r="I104" s="91"/>
      <c r="J104" s="75">
        <v>25000</v>
      </c>
      <c r="K104" s="76" t="s">
        <v>159</v>
      </c>
      <c r="L104" s="76" t="s">
        <v>34</v>
      </c>
      <c r="M104" s="103" t="str">
        <f>IF(AND('331-CT'!$E$7=TH!I104,OR(K104="331",L104="331")),"x","")</f>
        <v/>
      </c>
      <c r="N104" s="103" t="str">
        <f>IF(AND($C104&gt;='1111'!$N$10,$C104&lt;='1111'!$O$10,OR($K104=$N$7,$L104=$N$7)),"x","")</f>
        <v/>
      </c>
      <c r="O104" s="103" t="str">
        <f>IF(AND($K104=$N$7,$C104&lt;'1111'!$N$10),"x","")</f>
        <v/>
      </c>
      <c r="P104" s="103" t="str">
        <f>IF(AND($L104=$N$7,$C104&lt;'1111'!$N$10),"x","")</f>
        <v/>
      </c>
      <c r="Q104" s="103" t="str">
        <f>IF(AND($C104&gt;='1121'!$N$9,$C104&lt;='1121'!$O$9,OR($K104=$Q$7,$L104=$Q$7)),"x","")</f>
        <v/>
      </c>
      <c r="R104" s="103" t="str">
        <f>IF(AND($K104=$Q$7,$C104&lt;'1121'!$N$9),"x","")</f>
        <v/>
      </c>
      <c r="S104" s="103" t="str">
        <f>IF(AND($L104=$Q$7,$C104&lt;'1121'!$N$9),"x","")</f>
        <v>x</v>
      </c>
      <c r="T104" s="103" t="str">
        <f>IF(AND($C104&gt;='1331'!$I$9,$C104&lt;='1331'!$J$9,OR($K104=$T$7,$L104=$T$7)),"x","")</f>
        <v/>
      </c>
      <c r="U104" s="103" t="str">
        <f>IF(AND($K104=$T$7,$C104&lt;'1331'!$I$9),"x","")</f>
        <v/>
      </c>
      <c r="V104" s="103" t="str">
        <f>IF(AND($L104=$T$7,$C104&lt;'1331'!$I$9),"x","")</f>
        <v/>
      </c>
      <c r="W104" s="103" t="str">
        <f>IF(AND('3411-CT'!$E$9=TH!I104,OR(TH!K104=TH!$W$7,L104=TH!$W$7)),"x","")</f>
        <v/>
      </c>
      <c r="X104" s="103" t="str">
        <f>IF(OR(TH!K104=TH!$X$7,L104=TH!$X$7),"x","")</f>
        <v/>
      </c>
    </row>
    <row r="105" spans="1:24" s="88" customFormat="1">
      <c r="A105" s="178" t="str">
        <f>IF(E105&lt;&gt;"",IF(AND(B105='IN - TC'!$Q$4,OR(TH!K105="1111",TH!L105="1111")),TH!E105,""),"")</f>
        <v/>
      </c>
      <c r="B105" s="73">
        <f t="shared" si="10"/>
        <v>2014</v>
      </c>
      <c r="C105" s="73">
        <f t="shared" si="11"/>
        <v>8</v>
      </c>
      <c r="D105" s="74">
        <v>41857</v>
      </c>
      <c r="E105" s="74" t="s">
        <v>8</v>
      </c>
      <c r="F105" s="74">
        <v>41857</v>
      </c>
      <c r="G105" s="77" t="s">
        <v>22</v>
      </c>
      <c r="H105" s="180"/>
      <c r="I105" s="91"/>
      <c r="J105" s="75">
        <v>2500</v>
      </c>
      <c r="K105" s="76" t="s">
        <v>10</v>
      </c>
      <c r="L105" s="76" t="s">
        <v>34</v>
      </c>
      <c r="M105" s="103" t="str">
        <f>IF(AND('331-CT'!$E$7=TH!I105,OR(K105="331",L105="331")),"x","")</f>
        <v/>
      </c>
      <c r="N105" s="103" t="str">
        <f>IF(AND($C105&gt;='1111'!$N$10,$C105&lt;='1111'!$O$10,OR($K105=$N$7,$L105=$N$7)),"x","")</f>
        <v/>
      </c>
      <c r="O105" s="103" t="str">
        <f>IF(AND($K105=$N$7,$C105&lt;'1111'!$N$10),"x","")</f>
        <v/>
      </c>
      <c r="P105" s="103" t="str">
        <f>IF(AND($L105=$N$7,$C105&lt;'1111'!$N$10),"x","")</f>
        <v/>
      </c>
      <c r="Q105" s="103" t="str">
        <f>IF(AND($C105&gt;='1121'!$N$9,$C105&lt;='1121'!$O$9,OR($K105=$Q$7,$L105=$Q$7)),"x","")</f>
        <v/>
      </c>
      <c r="R105" s="103" t="str">
        <f>IF(AND($K105=$Q$7,$C105&lt;'1121'!$N$9),"x","")</f>
        <v/>
      </c>
      <c r="S105" s="103" t="str">
        <f>IF(AND($L105=$Q$7,$C105&lt;'1121'!$N$9),"x","")</f>
        <v>x</v>
      </c>
      <c r="T105" s="103" t="str">
        <f>IF(AND($C105&gt;='1331'!$I$9,$C105&lt;='1331'!$J$9,OR($K105=$T$7,$L105=$T$7)),"x","")</f>
        <v/>
      </c>
      <c r="U105" s="103" t="str">
        <f>IF(AND($K105=$T$7,$C105&lt;'1331'!$I$9),"x","")</f>
        <v/>
      </c>
      <c r="V105" s="103" t="str">
        <f>IF(AND($L105=$T$7,$C105&lt;'1331'!$I$9),"x","")</f>
        <v/>
      </c>
      <c r="W105" s="103" t="str">
        <f>IF(AND('3411-CT'!$E$9=TH!I105,OR(TH!K105=TH!$W$7,L105=TH!$W$7)),"x","")</f>
        <v/>
      </c>
      <c r="X105" s="103" t="str">
        <f>IF(OR(TH!K105=TH!$X$7,L105=TH!$X$7),"x","")</f>
        <v/>
      </c>
    </row>
    <row r="106" spans="1:24" s="88" customFormat="1">
      <c r="A106" s="178" t="str">
        <f>IF(E106&lt;&gt;"",IF(AND(B106='IN - TC'!$Q$4,OR(TH!K106="1111",TH!L106="1111")),TH!E106,""),"")</f>
        <v>C14</v>
      </c>
      <c r="B106" s="73">
        <f t="shared" si="10"/>
        <v>2014</v>
      </c>
      <c r="C106" s="73">
        <f t="shared" si="11"/>
        <v>8</v>
      </c>
      <c r="D106" s="86">
        <v>41865</v>
      </c>
      <c r="E106" s="74" t="s">
        <v>95</v>
      </c>
      <c r="F106" s="74">
        <v>41865</v>
      </c>
      <c r="G106" s="77" t="s">
        <v>222</v>
      </c>
      <c r="H106" s="180"/>
      <c r="I106" s="93" t="s">
        <v>186</v>
      </c>
      <c r="J106" s="75">
        <v>253000000</v>
      </c>
      <c r="K106" s="76" t="s">
        <v>34</v>
      </c>
      <c r="L106" s="76" t="s">
        <v>120</v>
      </c>
      <c r="M106" s="103" t="str">
        <f>IF(AND('331-CT'!$E$7=TH!I106,OR(K106="331",L106="331")),"x","")</f>
        <v/>
      </c>
      <c r="N106" s="103" t="str">
        <f>IF(AND($C106&gt;='1111'!$N$10,$C106&lt;='1111'!$O$10,OR($K106=$N$7,$L106=$N$7)),"x","")</f>
        <v/>
      </c>
      <c r="O106" s="103" t="str">
        <f>IF(AND($K106=$N$7,$C106&lt;'1111'!$N$10),"x","")</f>
        <v/>
      </c>
      <c r="P106" s="103" t="str">
        <f>IF(AND($L106=$N$7,$C106&lt;'1111'!$N$10),"x","")</f>
        <v>x</v>
      </c>
      <c r="Q106" s="103" t="str">
        <f>IF(AND($C106&gt;='1121'!$N$9,$C106&lt;='1121'!$O$9,OR($K106=$Q$7,$L106=$Q$7)),"x","")</f>
        <v/>
      </c>
      <c r="R106" s="103" t="str">
        <f>IF(AND($K106=$Q$7,$C106&lt;'1121'!$N$9),"x","")</f>
        <v>x</v>
      </c>
      <c r="S106" s="103" t="str">
        <f>IF(AND($L106=$Q$7,$C106&lt;'1121'!$N$9),"x","")</f>
        <v/>
      </c>
      <c r="T106" s="103" t="str">
        <f>IF(AND($C106&gt;='1331'!$I$9,$C106&lt;='1331'!$J$9,OR($K106=$T$7,$L106=$T$7)),"x","")</f>
        <v/>
      </c>
      <c r="U106" s="103" t="str">
        <f>IF(AND($K106=$T$7,$C106&lt;'1331'!$I$9),"x","")</f>
        <v/>
      </c>
      <c r="V106" s="103" t="str">
        <f>IF(AND($L106=$T$7,$C106&lt;'1331'!$I$9),"x","")</f>
        <v/>
      </c>
      <c r="W106" s="103" t="str">
        <f>IF(AND('3411-CT'!$E$9=TH!I106,OR(TH!K106=TH!$W$7,L106=TH!$W$7)),"x","")</f>
        <v/>
      </c>
      <c r="X106" s="103" t="str">
        <f>IF(OR(TH!K106=TH!$X$7,L106=TH!$X$7),"x","")</f>
        <v/>
      </c>
    </row>
    <row r="107" spans="1:24" s="88" customFormat="1">
      <c r="A107" s="178" t="str">
        <f>IF(E107&lt;&gt;"",IF(AND(B107='IN - TC'!$Q$4,OR(TH!K107="1111",TH!L107="1111")),TH!E107,""),"")</f>
        <v/>
      </c>
      <c r="B107" s="73">
        <f t="shared" si="10"/>
        <v>2014</v>
      </c>
      <c r="C107" s="73">
        <f t="shared" si="11"/>
        <v>8</v>
      </c>
      <c r="D107" s="74">
        <v>41865</v>
      </c>
      <c r="E107" s="74" t="s">
        <v>8</v>
      </c>
      <c r="F107" s="74">
        <v>41865</v>
      </c>
      <c r="G107" s="77" t="s">
        <v>353</v>
      </c>
      <c r="H107" s="180"/>
      <c r="I107" s="93" t="s">
        <v>57</v>
      </c>
      <c r="J107" s="75">
        <v>252519960</v>
      </c>
      <c r="K107" s="76" t="s">
        <v>9</v>
      </c>
      <c r="L107" s="76" t="s">
        <v>34</v>
      </c>
      <c r="M107" s="103" t="str">
        <f>IF(AND('331-CT'!$E$7=TH!I107,OR(K107="331",L107="331")),"x","")</f>
        <v/>
      </c>
      <c r="N107" s="103" t="str">
        <f>IF(AND($C107&gt;='1111'!$N$10,$C107&lt;='1111'!$O$10,OR($K107=$N$7,$L107=$N$7)),"x","")</f>
        <v/>
      </c>
      <c r="O107" s="103" t="str">
        <f>IF(AND($K107=$N$7,$C107&lt;'1111'!$N$10),"x","")</f>
        <v/>
      </c>
      <c r="P107" s="103" t="str">
        <f>IF(AND($L107=$N$7,$C107&lt;'1111'!$N$10),"x","")</f>
        <v/>
      </c>
      <c r="Q107" s="103" t="str">
        <f>IF(AND($C107&gt;='1121'!$N$9,$C107&lt;='1121'!$O$9,OR($K107=$Q$7,$L107=$Q$7)),"x","")</f>
        <v/>
      </c>
      <c r="R107" s="103" t="str">
        <f>IF(AND($K107=$Q$7,$C107&lt;'1121'!$N$9),"x","")</f>
        <v/>
      </c>
      <c r="S107" s="103" t="str">
        <f>IF(AND($L107=$Q$7,$C107&lt;'1121'!$N$9),"x","")</f>
        <v>x</v>
      </c>
      <c r="T107" s="103" t="str">
        <f>IF(AND($C107&gt;='1331'!$I$9,$C107&lt;='1331'!$J$9,OR($K107=$T$7,$L107=$T$7)),"x","")</f>
        <v/>
      </c>
      <c r="U107" s="103" t="str">
        <f>IF(AND($K107=$T$7,$C107&lt;'1331'!$I$9),"x","")</f>
        <v/>
      </c>
      <c r="V107" s="103" t="str">
        <f>IF(AND($L107=$T$7,$C107&lt;'1331'!$I$9),"x","")</f>
        <v/>
      </c>
      <c r="W107" s="103" t="str">
        <f>IF(AND('3411-CT'!$E$9=TH!I107,OR(TH!K107=TH!$W$7,L107=TH!$W$7)),"x","")</f>
        <v/>
      </c>
      <c r="X107" s="103" t="str">
        <f>IF(OR(TH!K107=TH!$X$7,L107=TH!$X$7),"x","")</f>
        <v/>
      </c>
    </row>
    <row r="108" spans="1:24" s="88" customFormat="1">
      <c r="A108" s="178" t="str">
        <f>IF(E108&lt;&gt;"",IF(AND(B108='IN - TC'!$Q$4,OR(TH!K108="1111",TH!L108="1111")),TH!E108,""),"")</f>
        <v/>
      </c>
      <c r="B108" s="73">
        <f t="shared" si="10"/>
        <v>2014</v>
      </c>
      <c r="C108" s="73">
        <f t="shared" si="11"/>
        <v>8</v>
      </c>
      <c r="D108" s="74">
        <v>41865</v>
      </c>
      <c r="E108" s="74" t="s">
        <v>8</v>
      </c>
      <c r="F108" s="74">
        <v>41865</v>
      </c>
      <c r="G108" s="77" t="s">
        <v>21</v>
      </c>
      <c r="H108" s="180"/>
      <c r="I108" s="93"/>
      <c r="J108" s="75">
        <v>151275</v>
      </c>
      <c r="K108" s="76" t="s">
        <v>159</v>
      </c>
      <c r="L108" s="76" t="s">
        <v>34</v>
      </c>
      <c r="M108" s="103" t="str">
        <f>IF(AND('331-CT'!$E$7=TH!I108,OR(K108="331",L108="331")),"x","")</f>
        <v/>
      </c>
      <c r="N108" s="103" t="str">
        <f>IF(AND($C108&gt;='1111'!$N$10,$C108&lt;='1111'!$O$10,OR($K108=$N$7,$L108=$N$7)),"x","")</f>
        <v/>
      </c>
      <c r="O108" s="103" t="str">
        <f>IF(AND($K108=$N$7,$C108&lt;'1111'!$N$10),"x","")</f>
        <v/>
      </c>
      <c r="P108" s="103" t="str">
        <f>IF(AND($L108=$N$7,$C108&lt;'1111'!$N$10),"x","")</f>
        <v/>
      </c>
      <c r="Q108" s="103" t="str">
        <f>IF(AND($C108&gt;='1121'!$N$9,$C108&lt;='1121'!$O$9,OR($K108=$Q$7,$L108=$Q$7)),"x","")</f>
        <v/>
      </c>
      <c r="R108" s="103" t="str">
        <f>IF(AND($K108=$Q$7,$C108&lt;'1121'!$N$9),"x","")</f>
        <v/>
      </c>
      <c r="S108" s="103" t="str">
        <f>IF(AND($L108=$Q$7,$C108&lt;'1121'!$N$9),"x","")</f>
        <v>x</v>
      </c>
      <c r="T108" s="103" t="str">
        <f>IF(AND($C108&gt;='1331'!$I$9,$C108&lt;='1331'!$J$9,OR($K108=$T$7,$L108=$T$7)),"x","")</f>
        <v/>
      </c>
      <c r="U108" s="103" t="str">
        <f>IF(AND($K108=$T$7,$C108&lt;'1331'!$I$9),"x","")</f>
        <v/>
      </c>
      <c r="V108" s="103" t="str">
        <f>IF(AND($L108=$T$7,$C108&lt;'1331'!$I$9),"x","")</f>
        <v/>
      </c>
      <c r="W108" s="103" t="str">
        <f>IF(AND('3411-CT'!$E$9=TH!I108,OR(TH!K108=TH!$W$7,L108=TH!$W$7)),"x","")</f>
        <v/>
      </c>
      <c r="X108" s="103" t="str">
        <f>IF(OR(TH!K108=TH!$X$7,L108=TH!$X$7),"x","")</f>
        <v/>
      </c>
    </row>
    <row r="109" spans="1:24" s="88" customFormat="1">
      <c r="A109" s="178" t="str">
        <f>IF(E109&lt;&gt;"",IF(AND(B109='IN - TC'!$Q$4,OR(TH!K109="1111",TH!L109="1111")),TH!E109,""),"")</f>
        <v/>
      </c>
      <c r="B109" s="73">
        <f t="shared" si="10"/>
        <v>2014</v>
      </c>
      <c r="C109" s="73">
        <f t="shared" si="11"/>
        <v>8</v>
      </c>
      <c r="D109" s="74">
        <v>41865</v>
      </c>
      <c r="E109" s="74" t="s">
        <v>8</v>
      </c>
      <c r="F109" s="74">
        <v>41865</v>
      </c>
      <c r="G109" s="77" t="s">
        <v>22</v>
      </c>
      <c r="H109" s="182"/>
      <c r="I109" s="7"/>
      <c r="J109" s="75">
        <v>15127</v>
      </c>
      <c r="K109" s="105" t="s">
        <v>10</v>
      </c>
      <c r="L109" s="105" t="s">
        <v>34</v>
      </c>
      <c r="M109" s="103" t="str">
        <f>IF(AND('331-CT'!$E$7=TH!I109,OR(K109="331",L109="331")),"x","")</f>
        <v/>
      </c>
      <c r="N109" s="103" t="str">
        <f>IF(AND($C109&gt;='1111'!$N$10,$C109&lt;='1111'!$O$10,OR($K109=$N$7,$L109=$N$7)),"x","")</f>
        <v/>
      </c>
      <c r="O109" s="103" t="str">
        <f>IF(AND($K109=$N$7,$C109&lt;'1111'!$N$10),"x","")</f>
        <v/>
      </c>
      <c r="P109" s="103" t="str">
        <f>IF(AND($L109=$N$7,$C109&lt;'1111'!$N$10),"x","")</f>
        <v/>
      </c>
      <c r="Q109" s="103" t="str">
        <f>IF(AND($C109&gt;='1121'!$N$9,$C109&lt;='1121'!$O$9,OR($K109=$Q$7,$L109=$Q$7)),"x","")</f>
        <v/>
      </c>
      <c r="R109" s="103" t="str">
        <f>IF(AND($K109=$Q$7,$C109&lt;'1121'!$N$9),"x","")</f>
        <v/>
      </c>
      <c r="S109" s="103" t="str">
        <f>IF(AND($L109=$Q$7,$C109&lt;'1121'!$N$9),"x","")</f>
        <v>x</v>
      </c>
      <c r="T109" s="103" t="str">
        <f>IF(AND($C109&gt;='1331'!$I$9,$C109&lt;='1331'!$J$9,OR($K109=$T$7,$L109=$T$7)),"x","")</f>
        <v/>
      </c>
      <c r="U109" s="103" t="str">
        <f>IF(AND($K109=$T$7,$C109&lt;'1331'!$I$9),"x","")</f>
        <v/>
      </c>
      <c r="V109" s="103" t="str">
        <f>IF(AND($L109=$T$7,$C109&lt;'1331'!$I$9),"x","")</f>
        <v/>
      </c>
      <c r="W109" s="103" t="str">
        <f>IF(AND('3411-CT'!$E$9=TH!I109,OR(TH!K109=TH!$W$7,L109=TH!$W$7)),"x","")</f>
        <v/>
      </c>
      <c r="X109" s="103" t="str">
        <f>IF(OR(TH!K109=TH!$X$7,L109=TH!$X$7),"x","")</f>
        <v/>
      </c>
    </row>
    <row r="110" spans="1:24" s="88" customFormat="1">
      <c r="A110" s="178" t="str">
        <f>IF(E110&lt;&gt;"",IF(AND(B110='IN - TC'!$Q$4,OR(TH!K110="1111",TH!L110="1111")),TH!E110,""),"")</f>
        <v/>
      </c>
      <c r="B110" s="73">
        <f t="shared" si="10"/>
        <v>2014</v>
      </c>
      <c r="C110" s="73">
        <f t="shared" si="11"/>
        <v>8</v>
      </c>
      <c r="D110" s="86">
        <v>41870</v>
      </c>
      <c r="E110" s="74" t="s">
        <v>11</v>
      </c>
      <c r="F110" s="74">
        <v>41870</v>
      </c>
      <c r="G110" s="77" t="s">
        <v>362</v>
      </c>
      <c r="H110" s="180"/>
      <c r="I110" s="91" t="s">
        <v>193</v>
      </c>
      <c r="J110" s="75">
        <v>1000000000</v>
      </c>
      <c r="K110" s="76" t="s">
        <v>34</v>
      </c>
      <c r="L110" s="76" t="s">
        <v>144</v>
      </c>
      <c r="M110" s="103" t="str">
        <f>IF(AND('331-CT'!$E$7=TH!I110,OR(K110="331",L110="331")),"x","")</f>
        <v/>
      </c>
      <c r="N110" s="103" t="str">
        <f>IF(AND($C110&gt;='1111'!$N$10,$C110&lt;='1111'!$O$10,OR($K110=$N$7,$L110=$N$7)),"x","")</f>
        <v/>
      </c>
      <c r="O110" s="103" t="str">
        <f>IF(AND($K110=$N$7,$C110&lt;'1111'!$N$10),"x","")</f>
        <v/>
      </c>
      <c r="P110" s="103" t="str">
        <f>IF(AND($L110=$N$7,$C110&lt;'1111'!$N$10),"x","")</f>
        <v/>
      </c>
      <c r="Q110" s="103" t="str">
        <f>IF(AND($C110&gt;='1121'!$N$9,$C110&lt;='1121'!$O$9,OR($K110=$Q$7,$L110=$Q$7)),"x","")</f>
        <v/>
      </c>
      <c r="R110" s="103" t="str">
        <f>IF(AND($K110=$Q$7,$C110&lt;'1121'!$N$9),"x","")</f>
        <v>x</v>
      </c>
      <c r="S110" s="103" t="str">
        <f>IF(AND($L110=$Q$7,$C110&lt;'1121'!$N$9),"x","")</f>
        <v/>
      </c>
      <c r="T110" s="103" t="str">
        <f>IF(AND($C110&gt;='1331'!$I$9,$C110&lt;='1331'!$J$9,OR($K110=$T$7,$L110=$T$7)),"x","")</f>
        <v/>
      </c>
      <c r="U110" s="103" t="str">
        <f>IF(AND($K110=$T$7,$C110&lt;'1331'!$I$9),"x","")</f>
        <v/>
      </c>
      <c r="V110" s="103" t="str">
        <f>IF(AND($L110=$T$7,$C110&lt;'1331'!$I$9),"x","")</f>
        <v/>
      </c>
      <c r="W110" s="103" t="str">
        <f>IF(AND('3411-CT'!$E$9=TH!I110,OR(TH!K110=TH!$W$7,L110=TH!$W$7)),"x","")</f>
        <v>x</v>
      </c>
      <c r="X110" s="103" t="str">
        <f>IF(OR(TH!K110=TH!$X$7,L110=TH!$X$7),"x","")</f>
        <v/>
      </c>
    </row>
    <row r="111" spans="1:24" s="88" customFormat="1">
      <c r="A111" s="178" t="str">
        <f>IF(E111&lt;&gt;"",IF(AND(B111='IN - TC'!$Q$4,OR(TH!K111="1111",TH!L111="1111")),TH!E111,""),"")</f>
        <v/>
      </c>
      <c r="B111" s="73">
        <f t="shared" si="10"/>
        <v>2014</v>
      </c>
      <c r="C111" s="73">
        <f t="shared" si="11"/>
        <v>8</v>
      </c>
      <c r="D111" s="74">
        <v>41871</v>
      </c>
      <c r="E111" s="74" t="s">
        <v>8</v>
      </c>
      <c r="F111" s="74">
        <v>41871</v>
      </c>
      <c r="G111" s="77" t="s">
        <v>73</v>
      </c>
      <c r="H111" s="180"/>
      <c r="I111" s="91" t="s">
        <v>72</v>
      </c>
      <c r="J111" s="75">
        <v>50000000</v>
      </c>
      <c r="K111" s="76" t="s">
        <v>9</v>
      </c>
      <c r="L111" s="76" t="s">
        <v>34</v>
      </c>
      <c r="M111" s="103" t="str">
        <f>IF(AND('331-CT'!$E$7=TH!I111,OR(K111="331",L111="331")),"x","")</f>
        <v>x</v>
      </c>
      <c r="N111" s="103" t="str">
        <f>IF(AND($C111&gt;='1111'!$N$10,$C111&lt;='1111'!$O$10,OR($K111=$N$7,$L111=$N$7)),"x","")</f>
        <v/>
      </c>
      <c r="O111" s="103" t="str">
        <f>IF(AND($K111=$N$7,$C111&lt;'1111'!$N$10),"x","")</f>
        <v/>
      </c>
      <c r="P111" s="103" t="str">
        <f>IF(AND($L111=$N$7,$C111&lt;'1111'!$N$10),"x","")</f>
        <v/>
      </c>
      <c r="Q111" s="103" t="str">
        <f>IF(AND($C111&gt;='1121'!$N$9,$C111&lt;='1121'!$O$9,OR($K111=$Q$7,$L111=$Q$7)),"x","")</f>
        <v/>
      </c>
      <c r="R111" s="103" t="str">
        <f>IF(AND($K111=$Q$7,$C111&lt;'1121'!$N$9),"x","")</f>
        <v/>
      </c>
      <c r="S111" s="103" t="str">
        <f>IF(AND($L111=$Q$7,$C111&lt;'1121'!$N$9),"x","")</f>
        <v>x</v>
      </c>
      <c r="T111" s="103" t="str">
        <f>IF(AND($C111&gt;='1331'!$I$9,$C111&lt;='1331'!$J$9,OR($K111=$T$7,$L111=$T$7)),"x","")</f>
        <v/>
      </c>
      <c r="U111" s="103" t="str">
        <f>IF(AND($K111=$T$7,$C111&lt;'1331'!$I$9),"x","")</f>
        <v/>
      </c>
      <c r="V111" s="103" t="str">
        <f>IF(AND($L111=$T$7,$C111&lt;'1331'!$I$9),"x","")</f>
        <v/>
      </c>
      <c r="W111" s="103" t="str">
        <f>IF(AND('3411-CT'!$E$9=TH!I111,OR(TH!K111=TH!$W$7,L111=TH!$W$7)),"x","")</f>
        <v/>
      </c>
      <c r="X111" s="103" t="str">
        <f>IF(OR(TH!K111=TH!$X$7,L111=TH!$X$7),"x","")</f>
        <v/>
      </c>
    </row>
    <row r="112" spans="1:24" s="88" customFormat="1">
      <c r="A112" s="178" t="str">
        <f>IF(E112&lt;&gt;"",IF(AND(B112='IN - TC'!$Q$4,OR(TH!K112="1111",TH!L112="1111")),TH!E112,""),"")</f>
        <v/>
      </c>
      <c r="B112" s="73">
        <f t="shared" si="10"/>
        <v>2014</v>
      </c>
      <c r="C112" s="73">
        <f t="shared" si="11"/>
        <v>8</v>
      </c>
      <c r="D112" s="74">
        <v>41871</v>
      </c>
      <c r="E112" s="74" t="s">
        <v>8</v>
      </c>
      <c r="F112" s="74">
        <v>41871</v>
      </c>
      <c r="G112" s="77" t="s">
        <v>21</v>
      </c>
      <c r="H112" s="180"/>
      <c r="I112" s="91"/>
      <c r="J112" s="75">
        <v>25000</v>
      </c>
      <c r="K112" s="76" t="s">
        <v>159</v>
      </c>
      <c r="L112" s="76" t="s">
        <v>34</v>
      </c>
      <c r="M112" s="103" t="str">
        <f>IF(AND('331-CT'!$E$7=TH!I112,OR(K112="331",L112="331")),"x","")</f>
        <v/>
      </c>
      <c r="N112" s="103" t="str">
        <f>IF(AND($C112&gt;='1111'!$N$10,$C112&lt;='1111'!$O$10,OR($K112=$N$7,$L112=$N$7)),"x","")</f>
        <v/>
      </c>
      <c r="O112" s="103" t="str">
        <f>IF(AND($K112=$N$7,$C112&lt;'1111'!$N$10),"x","")</f>
        <v/>
      </c>
      <c r="P112" s="103" t="str">
        <f>IF(AND($L112=$N$7,$C112&lt;'1111'!$N$10),"x","")</f>
        <v/>
      </c>
      <c r="Q112" s="103" t="str">
        <f>IF(AND($C112&gt;='1121'!$N$9,$C112&lt;='1121'!$O$9,OR($K112=$Q$7,$L112=$Q$7)),"x","")</f>
        <v/>
      </c>
      <c r="R112" s="103" t="str">
        <f>IF(AND($K112=$Q$7,$C112&lt;'1121'!$N$9),"x","")</f>
        <v/>
      </c>
      <c r="S112" s="103" t="str">
        <f>IF(AND($L112=$Q$7,$C112&lt;'1121'!$N$9),"x","")</f>
        <v>x</v>
      </c>
      <c r="T112" s="103" t="str">
        <f>IF(AND($C112&gt;='1331'!$I$9,$C112&lt;='1331'!$J$9,OR($K112=$T$7,$L112=$T$7)),"x","")</f>
        <v/>
      </c>
      <c r="U112" s="103" t="str">
        <f>IF(AND($K112=$T$7,$C112&lt;'1331'!$I$9),"x","")</f>
        <v/>
      </c>
      <c r="V112" s="103" t="str">
        <f>IF(AND($L112=$T$7,$C112&lt;'1331'!$I$9),"x","")</f>
        <v/>
      </c>
      <c r="W112" s="103" t="str">
        <f>IF(AND('3411-CT'!$E$9=TH!I112,OR(TH!K112=TH!$W$7,L112=TH!$W$7)),"x","")</f>
        <v/>
      </c>
      <c r="X112" s="103" t="str">
        <f>IF(OR(TH!K112=TH!$X$7,L112=TH!$X$7),"x","")</f>
        <v/>
      </c>
    </row>
    <row r="113" spans="1:24" s="88" customFormat="1">
      <c r="A113" s="178" t="str">
        <f>IF(E113&lt;&gt;"",IF(AND(B113='IN - TC'!$Q$4,OR(TH!K113="1111",TH!L113="1111")),TH!E113,""),"")</f>
        <v/>
      </c>
      <c r="B113" s="73">
        <f t="shared" si="10"/>
        <v>2014</v>
      </c>
      <c r="C113" s="73">
        <f t="shared" si="11"/>
        <v>8</v>
      </c>
      <c r="D113" s="86">
        <v>41871</v>
      </c>
      <c r="E113" s="74" t="s">
        <v>8</v>
      </c>
      <c r="F113" s="74">
        <v>41871</v>
      </c>
      <c r="G113" s="77" t="s">
        <v>22</v>
      </c>
      <c r="H113" s="180"/>
      <c r="I113" s="91"/>
      <c r="J113" s="75">
        <v>2500</v>
      </c>
      <c r="K113" s="76" t="s">
        <v>10</v>
      </c>
      <c r="L113" s="76" t="s">
        <v>34</v>
      </c>
      <c r="M113" s="103" t="str">
        <f>IF(AND('331-CT'!$E$7=TH!I113,OR(K113="331",L113="331")),"x","")</f>
        <v/>
      </c>
      <c r="N113" s="103" t="str">
        <f>IF(AND($C113&gt;='1111'!$N$10,$C113&lt;='1111'!$O$10,OR($K113=$N$7,$L113=$N$7)),"x","")</f>
        <v/>
      </c>
      <c r="O113" s="103" t="str">
        <f>IF(AND($K113=$N$7,$C113&lt;'1111'!$N$10),"x","")</f>
        <v/>
      </c>
      <c r="P113" s="103" t="str">
        <f>IF(AND($L113=$N$7,$C113&lt;'1111'!$N$10),"x","")</f>
        <v/>
      </c>
      <c r="Q113" s="103" t="str">
        <f>IF(AND($C113&gt;='1121'!$N$9,$C113&lt;='1121'!$O$9,OR($K113=$Q$7,$L113=$Q$7)),"x","")</f>
        <v/>
      </c>
      <c r="R113" s="103" t="str">
        <f>IF(AND($K113=$Q$7,$C113&lt;'1121'!$N$9),"x","")</f>
        <v/>
      </c>
      <c r="S113" s="103" t="str">
        <f>IF(AND($L113=$Q$7,$C113&lt;'1121'!$N$9),"x","")</f>
        <v>x</v>
      </c>
      <c r="T113" s="103" t="str">
        <f>IF(AND($C113&gt;='1331'!$I$9,$C113&lt;='1331'!$J$9,OR($K113=$T$7,$L113=$T$7)),"x","")</f>
        <v/>
      </c>
      <c r="U113" s="103" t="str">
        <f>IF(AND($K113=$T$7,$C113&lt;'1331'!$I$9),"x","")</f>
        <v/>
      </c>
      <c r="V113" s="103" t="str">
        <f>IF(AND($L113=$T$7,$C113&lt;'1331'!$I$9),"x","")</f>
        <v/>
      </c>
      <c r="W113" s="103" t="str">
        <f>IF(AND('3411-CT'!$E$9=TH!I113,OR(TH!K113=TH!$W$7,L113=TH!$W$7)),"x","")</f>
        <v/>
      </c>
      <c r="X113" s="103" t="str">
        <f>IF(OR(TH!K113=TH!$X$7,L113=TH!$X$7),"x","")</f>
        <v/>
      </c>
    </row>
    <row r="114" spans="1:24" s="88" customFormat="1">
      <c r="A114" s="178" t="str">
        <f>IF(E114&lt;&gt;"",IF(AND(B114='IN - TC'!$Q$4,OR(TH!K114="1111",TH!L114="1111")),TH!E114,""),"")</f>
        <v/>
      </c>
      <c r="B114" s="73">
        <f t="shared" si="10"/>
        <v>2014</v>
      </c>
      <c r="C114" s="73">
        <f t="shared" si="11"/>
        <v>8</v>
      </c>
      <c r="D114" s="86">
        <v>41871</v>
      </c>
      <c r="E114" s="74" t="s">
        <v>8</v>
      </c>
      <c r="F114" s="74">
        <v>41871</v>
      </c>
      <c r="G114" s="77" t="s">
        <v>363</v>
      </c>
      <c r="H114" s="180"/>
      <c r="I114" s="91" t="s">
        <v>71</v>
      </c>
      <c r="J114" s="75">
        <v>80000000</v>
      </c>
      <c r="K114" s="76" t="s">
        <v>9</v>
      </c>
      <c r="L114" s="76" t="s">
        <v>34</v>
      </c>
      <c r="M114" s="103" t="str">
        <f>IF(AND('331-CT'!$E$7=TH!I114,OR(K114="331",L114="331")),"x","")</f>
        <v/>
      </c>
      <c r="N114" s="103" t="str">
        <f>IF(AND($C114&gt;='1111'!$N$10,$C114&lt;='1111'!$O$10,OR($K114=$N$7,$L114=$N$7)),"x","")</f>
        <v/>
      </c>
      <c r="O114" s="103" t="str">
        <f>IF(AND($K114=$N$7,$C114&lt;'1111'!$N$10),"x","")</f>
        <v/>
      </c>
      <c r="P114" s="103" t="str">
        <f>IF(AND($L114=$N$7,$C114&lt;'1111'!$N$10),"x","")</f>
        <v/>
      </c>
      <c r="Q114" s="103" t="str">
        <f>IF(AND($C114&gt;='1121'!$N$9,$C114&lt;='1121'!$O$9,OR($K114=$Q$7,$L114=$Q$7)),"x","")</f>
        <v/>
      </c>
      <c r="R114" s="103" t="str">
        <f>IF(AND($K114=$Q$7,$C114&lt;'1121'!$N$9),"x","")</f>
        <v/>
      </c>
      <c r="S114" s="103" t="str">
        <f>IF(AND($L114=$Q$7,$C114&lt;'1121'!$N$9),"x","")</f>
        <v>x</v>
      </c>
      <c r="T114" s="103" t="str">
        <f>IF(AND($C114&gt;='1331'!$I$9,$C114&lt;='1331'!$J$9,OR($K114=$T$7,$L114=$T$7)),"x","")</f>
        <v/>
      </c>
      <c r="U114" s="103" t="str">
        <f>IF(AND($K114=$T$7,$C114&lt;'1331'!$I$9),"x","")</f>
        <v/>
      </c>
      <c r="V114" s="103" t="str">
        <f>IF(AND($L114=$T$7,$C114&lt;'1331'!$I$9),"x","")</f>
        <v/>
      </c>
      <c r="W114" s="103" t="str">
        <f>IF(AND('3411-CT'!$E$9=TH!I114,OR(TH!K114=TH!$W$7,L114=TH!$W$7)),"x","")</f>
        <v/>
      </c>
      <c r="X114" s="103" t="str">
        <f>IF(OR(TH!K114=TH!$X$7,L114=TH!$X$7),"x","")</f>
        <v/>
      </c>
    </row>
    <row r="115" spans="1:24" s="88" customFormat="1">
      <c r="A115" s="178" t="str">
        <f>IF(E115&lt;&gt;"",IF(AND(B115='IN - TC'!$Q$4,OR(TH!K115="1111",TH!L115="1111")),TH!E115,""),"")</f>
        <v/>
      </c>
      <c r="B115" s="73">
        <f t="shared" ref="B115:B131" si="12">IF(D115&lt;&gt;"",YEAR(D115),"")</f>
        <v>2014</v>
      </c>
      <c r="C115" s="73">
        <f t="shared" ref="C115:C131" si="13">IF(D115&lt;&gt;"",MONTH(D115),"")</f>
        <v>8</v>
      </c>
      <c r="D115" s="74">
        <v>41871</v>
      </c>
      <c r="E115" s="74" t="s">
        <v>8</v>
      </c>
      <c r="F115" s="74">
        <v>41871</v>
      </c>
      <c r="G115" s="77" t="s">
        <v>21</v>
      </c>
      <c r="H115" s="180"/>
      <c r="I115" s="91"/>
      <c r="J115" s="75">
        <v>24000</v>
      </c>
      <c r="K115" s="76" t="s">
        <v>159</v>
      </c>
      <c r="L115" s="76" t="s">
        <v>34</v>
      </c>
      <c r="M115" s="103" t="str">
        <f>IF(AND('331-CT'!$E$7=TH!I115,OR(K115="331",L115="331")),"x","")</f>
        <v/>
      </c>
      <c r="N115" s="103" t="str">
        <f>IF(AND($C115&gt;='1111'!$N$10,$C115&lt;='1111'!$O$10,OR($K115=$N$7,$L115=$N$7)),"x","")</f>
        <v/>
      </c>
      <c r="O115" s="103" t="str">
        <f>IF(AND($K115=$N$7,$C115&lt;'1111'!$N$10),"x","")</f>
        <v/>
      </c>
      <c r="P115" s="103" t="str">
        <f>IF(AND($L115=$N$7,$C115&lt;'1111'!$N$10),"x","")</f>
        <v/>
      </c>
      <c r="Q115" s="103" t="str">
        <f>IF(AND($C115&gt;='1121'!$N$9,$C115&lt;='1121'!$O$9,OR($K115=$Q$7,$L115=$Q$7)),"x","")</f>
        <v/>
      </c>
      <c r="R115" s="103" t="str">
        <f>IF(AND($K115=$Q$7,$C115&lt;'1121'!$N$9),"x","")</f>
        <v/>
      </c>
      <c r="S115" s="103" t="str">
        <f>IF(AND($L115=$Q$7,$C115&lt;'1121'!$N$9),"x","")</f>
        <v>x</v>
      </c>
      <c r="T115" s="103" t="str">
        <f>IF(AND($C115&gt;='1331'!$I$9,$C115&lt;='1331'!$J$9,OR($K115=$T$7,$L115=$T$7)),"x","")</f>
        <v/>
      </c>
      <c r="U115" s="103" t="str">
        <f>IF(AND($K115=$T$7,$C115&lt;'1331'!$I$9),"x","")</f>
        <v/>
      </c>
      <c r="V115" s="103" t="str">
        <f>IF(AND($L115=$T$7,$C115&lt;'1331'!$I$9),"x","")</f>
        <v/>
      </c>
      <c r="W115" s="103" t="str">
        <f>IF(AND('3411-CT'!$E$9=TH!I115,OR(TH!K115=TH!$W$7,L115=TH!$W$7)),"x","")</f>
        <v/>
      </c>
      <c r="X115" s="103" t="str">
        <f>IF(OR(TH!K115=TH!$X$7,L115=TH!$X$7),"x","")</f>
        <v/>
      </c>
    </row>
    <row r="116" spans="1:24" s="88" customFormat="1">
      <c r="A116" s="178" t="str">
        <f>IF(E116&lt;&gt;"",IF(AND(B116='IN - TC'!$Q$4,OR(TH!K116="1111",TH!L116="1111")),TH!E116,""),"")</f>
        <v/>
      </c>
      <c r="B116" s="73">
        <f t="shared" si="12"/>
        <v>2014</v>
      </c>
      <c r="C116" s="73">
        <f t="shared" si="13"/>
        <v>8</v>
      </c>
      <c r="D116" s="74">
        <v>41871</v>
      </c>
      <c r="E116" s="74" t="s">
        <v>8</v>
      </c>
      <c r="F116" s="74">
        <v>41871</v>
      </c>
      <c r="G116" s="77" t="s">
        <v>22</v>
      </c>
      <c r="H116" s="180"/>
      <c r="I116" s="91"/>
      <c r="J116" s="75">
        <v>2400</v>
      </c>
      <c r="K116" s="76" t="s">
        <v>10</v>
      </c>
      <c r="L116" s="76" t="s">
        <v>34</v>
      </c>
      <c r="M116" s="103" t="str">
        <f>IF(AND('331-CT'!$E$7=TH!I116,OR(K116="331",L116="331")),"x","")</f>
        <v/>
      </c>
      <c r="N116" s="103" t="str">
        <f>IF(AND($C116&gt;='1111'!$N$10,$C116&lt;='1111'!$O$10,OR($K116=$N$7,$L116=$N$7)),"x","")</f>
        <v/>
      </c>
      <c r="O116" s="103" t="str">
        <f>IF(AND($K116=$N$7,$C116&lt;'1111'!$N$10),"x","")</f>
        <v/>
      </c>
      <c r="P116" s="103" t="str">
        <f>IF(AND($L116=$N$7,$C116&lt;'1111'!$N$10),"x","")</f>
        <v/>
      </c>
      <c r="Q116" s="103" t="str">
        <f>IF(AND($C116&gt;='1121'!$N$9,$C116&lt;='1121'!$O$9,OR($K116=$Q$7,$L116=$Q$7)),"x","")</f>
        <v/>
      </c>
      <c r="R116" s="103" t="str">
        <f>IF(AND($K116=$Q$7,$C116&lt;'1121'!$N$9),"x","")</f>
        <v/>
      </c>
      <c r="S116" s="103" t="str">
        <f>IF(AND($L116=$Q$7,$C116&lt;'1121'!$N$9),"x","")</f>
        <v>x</v>
      </c>
      <c r="T116" s="103" t="str">
        <f>IF(AND($C116&gt;='1331'!$I$9,$C116&lt;='1331'!$J$9,OR($K116=$T$7,$L116=$T$7)),"x","")</f>
        <v/>
      </c>
      <c r="U116" s="103" t="str">
        <f>IF(AND($K116=$T$7,$C116&lt;'1331'!$I$9),"x","")</f>
        <v/>
      </c>
      <c r="V116" s="103" t="str">
        <f>IF(AND($L116=$T$7,$C116&lt;'1331'!$I$9),"x","")</f>
        <v/>
      </c>
      <c r="W116" s="103" t="str">
        <f>IF(AND('3411-CT'!$E$9=TH!I116,OR(TH!K116=TH!$W$7,L116=TH!$W$7)),"x","")</f>
        <v/>
      </c>
      <c r="X116" s="103" t="str">
        <f>IF(OR(TH!K116=TH!$X$7,L116=TH!$X$7),"x","")</f>
        <v/>
      </c>
    </row>
    <row r="117" spans="1:24" s="88" customFormat="1">
      <c r="A117" s="178" t="str">
        <f>IF(E117&lt;&gt;"",IF(AND(B117='IN - TC'!$Q$4,OR(TH!K117="1111",TH!L117="1111")),TH!E117,""),"")</f>
        <v/>
      </c>
      <c r="B117" s="73">
        <f t="shared" si="12"/>
        <v>2014</v>
      </c>
      <c r="C117" s="73">
        <f t="shared" si="13"/>
        <v>8</v>
      </c>
      <c r="D117" s="86">
        <v>41871</v>
      </c>
      <c r="E117" s="74" t="s">
        <v>8</v>
      </c>
      <c r="F117" s="74">
        <v>41871</v>
      </c>
      <c r="G117" s="77" t="s">
        <v>354</v>
      </c>
      <c r="H117" s="180"/>
      <c r="I117" s="91" t="s">
        <v>59</v>
      </c>
      <c r="J117" s="75">
        <v>50000000</v>
      </c>
      <c r="K117" s="76" t="s">
        <v>9</v>
      </c>
      <c r="L117" s="76" t="s">
        <v>34</v>
      </c>
      <c r="M117" s="103" t="str">
        <f>IF(AND('331-CT'!$E$7=TH!I117,OR(K117="331",L117="331")),"x","")</f>
        <v/>
      </c>
      <c r="N117" s="103" t="str">
        <f>IF(AND($C117&gt;='1111'!$N$10,$C117&lt;='1111'!$O$10,OR($K117=$N$7,$L117=$N$7)),"x","")</f>
        <v/>
      </c>
      <c r="O117" s="103" t="str">
        <f>IF(AND($K117=$N$7,$C117&lt;'1111'!$N$10),"x","")</f>
        <v/>
      </c>
      <c r="P117" s="103" t="str">
        <f>IF(AND($L117=$N$7,$C117&lt;'1111'!$N$10),"x","")</f>
        <v/>
      </c>
      <c r="Q117" s="103" t="str">
        <f>IF(AND($C117&gt;='1121'!$N$9,$C117&lt;='1121'!$O$9,OR($K117=$Q$7,$L117=$Q$7)),"x","")</f>
        <v/>
      </c>
      <c r="R117" s="103" t="str">
        <f>IF(AND($K117=$Q$7,$C117&lt;'1121'!$N$9),"x","")</f>
        <v/>
      </c>
      <c r="S117" s="103" t="str">
        <f>IF(AND($L117=$Q$7,$C117&lt;'1121'!$N$9),"x","")</f>
        <v>x</v>
      </c>
      <c r="T117" s="103" t="str">
        <f>IF(AND($C117&gt;='1331'!$I$9,$C117&lt;='1331'!$J$9,OR($K117=$T$7,$L117=$T$7)),"x","")</f>
        <v/>
      </c>
      <c r="U117" s="103" t="str">
        <f>IF(AND($K117=$T$7,$C117&lt;'1331'!$I$9),"x","")</f>
        <v/>
      </c>
      <c r="V117" s="103" t="str">
        <f>IF(AND($L117=$T$7,$C117&lt;'1331'!$I$9),"x","")</f>
        <v/>
      </c>
      <c r="W117" s="103" t="str">
        <f>IF(AND('3411-CT'!$E$9=TH!I117,OR(TH!K117=TH!$W$7,L117=TH!$W$7)),"x","")</f>
        <v/>
      </c>
      <c r="X117" s="103" t="str">
        <f>IF(OR(TH!K117=TH!$X$7,L117=TH!$X$7),"x","")</f>
        <v/>
      </c>
    </row>
    <row r="118" spans="1:24" s="88" customFormat="1">
      <c r="A118" s="178" t="str">
        <f>IF(E118&lt;&gt;"",IF(AND(B118='IN - TC'!$Q$4,OR(TH!K118="1111",TH!L118="1111")),TH!E118,""),"")</f>
        <v/>
      </c>
      <c r="B118" s="73">
        <f t="shared" si="12"/>
        <v>2014</v>
      </c>
      <c r="C118" s="73">
        <f t="shared" si="13"/>
        <v>8</v>
      </c>
      <c r="D118" s="86">
        <v>41871</v>
      </c>
      <c r="E118" s="74" t="s">
        <v>8</v>
      </c>
      <c r="F118" s="74">
        <v>41871</v>
      </c>
      <c r="G118" s="77" t="s">
        <v>21</v>
      </c>
      <c r="H118" s="180"/>
      <c r="I118" s="91"/>
      <c r="J118" s="75">
        <v>25000</v>
      </c>
      <c r="K118" s="79" t="s">
        <v>159</v>
      </c>
      <c r="L118" s="76" t="s">
        <v>34</v>
      </c>
      <c r="M118" s="103" t="str">
        <f>IF(AND('331-CT'!$E$7=TH!I118,OR(K118="331",L118="331")),"x","")</f>
        <v/>
      </c>
      <c r="N118" s="103" t="str">
        <f>IF(AND($C118&gt;='1111'!$N$10,$C118&lt;='1111'!$O$10,OR($K118=$N$7,$L118=$N$7)),"x","")</f>
        <v/>
      </c>
      <c r="O118" s="103" t="str">
        <f>IF(AND($K118=$N$7,$C118&lt;'1111'!$N$10),"x","")</f>
        <v/>
      </c>
      <c r="P118" s="103" t="str">
        <f>IF(AND($L118=$N$7,$C118&lt;'1111'!$N$10),"x","")</f>
        <v/>
      </c>
      <c r="Q118" s="103" t="str">
        <f>IF(AND($C118&gt;='1121'!$N$9,$C118&lt;='1121'!$O$9,OR($K118=$Q$7,$L118=$Q$7)),"x","")</f>
        <v/>
      </c>
      <c r="R118" s="103" t="str">
        <f>IF(AND($K118=$Q$7,$C118&lt;'1121'!$N$9),"x","")</f>
        <v/>
      </c>
      <c r="S118" s="103" t="str">
        <f>IF(AND($L118=$Q$7,$C118&lt;'1121'!$N$9),"x","")</f>
        <v>x</v>
      </c>
      <c r="T118" s="103" t="str">
        <f>IF(AND($C118&gt;='1331'!$I$9,$C118&lt;='1331'!$J$9,OR($K118=$T$7,$L118=$T$7)),"x","")</f>
        <v/>
      </c>
      <c r="U118" s="103" t="str">
        <f>IF(AND($K118=$T$7,$C118&lt;'1331'!$I$9),"x","")</f>
        <v/>
      </c>
      <c r="V118" s="103" t="str">
        <f>IF(AND($L118=$T$7,$C118&lt;'1331'!$I$9),"x","")</f>
        <v/>
      </c>
      <c r="W118" s="103" t="str">
        <f>IF(AND('3411-CT'!$E$9=TH!I118,OR(TH!K118=TH!$W$7,L118=TH!$W$7)),"x","")</f>
        <v/>
      </c>
      <c r="X118" s="103" t="str">
        <f>IF(OR(TH!K118=TH!$X$7,L118=TH!$X$7),"x","")</f>
        <v/>
      </c>
    </row>
    <row r="119" spans="1:24" s="88" customFormat="1">
      <c r="A119" s="178" t="str">
        <f>IF(E119&lt;&gt;"",IF(AND(B119='IN - TC'!$Q$4,OR(TH!K119="1111",TH!L119="1111")),TH!E119,""),"")</f>
        <v/>
      </c>
      <c r="B119" s="73">
        <f t="shared" si="12"/>
        <v>2014</v>
      </c>
      <c r="C119" s="73">
        <f t="shared" si="13"/>
        <v>8</v>
      </c>
      <c r="D119" s="74">
        <v>41871</v>
      </c>
      <c r="E119" s="74" t="s">
        <v>8</v>
      </c>
      <c r="F119" s="74">
        <v>41871</v>
      </c>
      <c r="G119" s="77" t="s">
        <v>22</v>
      </c>
      <c r="H119" s="180"/>
      <c r="I119" s="91"/>
      <c r="J119" s="75">
        <v>2500</v>
      </c>
      <c r="K119" s="76" t="s">
        <v>10</v>
      </c>
      <c r="L119" s="76" t="s">
        <v>34</v>
      </c>
      <c r="M119" s="103" t="str">
        <f>IF(AND('331-CT'!$E$7=TH!I119,OR(K119="331",L119="331")),"x","")</f>
        <v/>
      </c>
      <c r="N119" s="103" t="str">
        <f>IF(AND($C119&gt;='1111'!$N$10,$C119&lt;='1111'!$O$10,OR($K119=$N$7,$L119=$N$7)),"x","")</f>
        <v/>
      </c>
      <c r="O119" s="103" t="str">
        <f>IF(AND($K119=$N$7,$C119&lt;'1111'!$N$10),"x","")</f>
        <v/>
      </c>
      <c r="P119" s="103" t="str">
        <f>IF(AND($L119=$N$7,$C119&lt;'1111'!$N$10),"x","")</f>
        <v/>
      </c>
      <c r="Q119" s="103" t="str">
        <f>IF(AND($C119&gt;='1121'!$N$9,$C119&lt;='1121'!$O$9,OR($K119=$Q$7,$L119=$Q$7)),"x","")</f>
        <v/>
      </c>
      <c r="R119" s="103" t="str">
        <f>IF(AND($K119=$Q$7,$C119&lt;'1121'!$N$9),"x","")</f>
        <v/>
      </c>
      <c r="S119" s="103" t="str">
        <f>IF(AND($L119=$Q$7,$C119&lt;'1121'!$N$9),"x","")</f>
        <v>x</v>
      </c>
      <c r="T119" s="103" t="str">
        <f>IF(AND($C119&gt;='1331'!$I$9,$C119&lt;='1331'!$J$9,OR($K119=$T$7,$L119=$T$7)),"x","")</f>
        <v/>
      </c>
      <c r="U119" s="103" t="str">
        <f>IF(AND($K119=$T$7,$C119&lt;'1331'!$I$9),"x","")</f>
        <v/>
      </c>
      <c r="V119" s="103" t="str">
        <f>IF(AND($L119=$T$7,$C119&lt;'1331'!$I$9),"x","")</f>
        <v/>
      </c>
      <c r="W119" s="103" t="str">
        <f>IF(AND('3411-CT'!$E$9=TH!I119,OR(TH!K119=TH!$W$7,L119=TH!$W$7)),"x","")</f>
        <v/>
      </c>
      <c r="X119" s="103" t="str">
        <f>IF(OR(TH!K119=TH!$X$7,L119=TH!$X$7),"x","")</f>
        <v/>
      </c>
    </row>
    <row r="120" spans="1:24" s="88" customFormat="1">
      <c r="A120" s="178" t="str">
        <f>IF(E120&lt;&gt;"",IF(AND(B120='IN - TC'!$Q$4,OR(TH!K120="1111",TH!L120="1111")),TH!E120,""),"")</f>
        <v/>
      </c>
      <c r="B120" s="73">
        <f t="shared" si="12"/>
        <v>2014</v>
      </c>
      <c r="C120" s="73">
        <f t="shared" si="13"/>
        <v>8</v>
      </c>
      <c r="D120" s="74">
        <v>41871</v>
      </c>
      <c r="E120" s="74" t="s">
        <v>8</v>
      </c>
      <c r="F120" s="74">
        <v>41871</v>
      </c>
      <c r="G120" s="77" t="s">
        <v>353</v>
      </c>
      <c r="H120" s="180"/>
      <c r="I120" s="91" t="s">
        <v>57</v>
      </c>
      <c r="J120" s="75">
        <v>378779940</v>
      </c>
      <c r="K120" s="76" t="s">
        <v>9</v>
      </c>
      <c r="L120" s="76" t="s">
        <v>34</v>
      </c>
      <c r="M120" s="103" t="str">
        <f>IF(AND('331-CT'!$E$7=TH!I120,OR(K120="331",L120="331")),"x","")</f>
        <v/>
      </c>
      <c r="N120" s="103" t="str">
        <f>IF(AND($C120&gt;='1111'!$N$10,$C120&lt;='1111'!$O$10,OR($K120=$N$7,$L120=$N$7)),"x","")</f>
        <v/>
      </c>
      <c r="O120" s="103" t="str">
        <f>IF(AND($K120=$N$7,$C120&lt;'1111'!$N$10),"x","")</f>
        <v/>
      </c>
      <c r="P120" s="103" t="str">
        <f>IF(AND($L120=$N$7,$C120&lt;'1111'!$N$10),"x","")</f>
        <v/>
      </c>
      <c r="Q120" s="103" t="str">
        <f>IF(AND($C120&gt;='1121'!$N$9,$C120&lt;='1121'!$O$9,OR($K120=$Q$7,$L120=$Q$7)),"x","")</f>
        <v/>
      </c>
      <c r="R120" s="103" t="str">
        <f>IF(AND($K120=$Q$7,$C120&lt;'1121'!$N$9),"x","")</f>
        <v/>
      </c>
      <c r="S120" s="103" t="str">
        <f>IF(AND($L120=$Q$7,$C120&lt;'1121'!$N$9),"x","")</f>
        <v>x</v>
      </c>
      <c r="T120" s="103" t="str">
        <f>IF(AND($C120&gt;='1331'!$I$9,$C120&lt;='1331'!$J$9,OR($K120=$T$7,$L120=$T$7)),"x","")</f>
        <v/>
      </c>
      <c r="U120" s="103" t="str">
        <f>IF(AND($K120=$T$7,$C120&lt;'1331'!$I$9),"x","")</f>
        <v/>
      </c>
      <c r="V120" s="103" t="str">
        <f>IF(AND($L120=$T$7,$C120&lt;'1331'!$I$9),"x","")</f>
        <v/>
      </c>
      <c r="W120" s="103" t="str">
        <f>IF(AND('3411-CT'!$E$9=TH!I120,OR(TH!K120=TH!$W$7,L120=TH!$W$7)),"x","")</f>
        <v/>
      </c>
      <c r="X120" s="103" t="str">
        <f>IF(OR(TH!K120=TH!$X$7,L120=TH!$X$7),"x","")</f>
        <v/>
      </c>
    </row>
    <row r="121" spans="1:24" s="88" customFormat="1">
      <c r="A121" s="178" t="str">
        <f>IF(E121&lt;&gt;"",IF(AND(B121='IN - TC'!$Q$4,OR(TH!K121="1111",TH!L121="1111")),TH!E121,""),"")</f>
        <v/>
      </c>
      <c r="B121" s="73">
        <f t="shared" si="12"/>
        <v>2014</v>
      </c>
      <c r="C121" s="73">
        <f t="shared" si="13"/>
        <v>8</v>
      </c>
      <c r="D121" s="86">
        <v>41871</v>
      </c>
      <c r="E121" s="74" t="s">
        <v>8</v>
      </c>
      <c r="F121" s="74">
        <v>41871</v>
      </c>
      <c r="G121" s="77" t="s">
        <v>21</v>
      </c>
      <c r="H121" s="180"/>
      <c r="I121" s="91"/>
      <c r="J121" s="75">
        <v>113634</v>
      </c>
      <c r="K121" s="76" t="s">
        <v>159</v>
      </c>
      <c r="L121" s="76" t="s">
        <v>34</v>
      </c>
      <c r="M121" s="103" t="str">
        <f>IF(AND('331-CT'!$E$7=TH!I121,OR(K121="331",L121="331")),"x","")</f>
        <v/>
      </c>
      <c r="N121" s="103" t="str">
        <f>IF(AND($C121&gt;='1111'!$N$10,$C121&lt;='1111'!$O$10,OR($K121=$N$7,$L121=$N$7)),"x","")</f>
        <v/>
      </c>
      <c r="O121" s="103" t="str">
        <f>IF(AND($K121=$N$7,$C121&lt;'1111'!$N$10),"x","")</f>
        <v/>
      </c>
      <c r="P121" s="103" t="str">
        <f>IF(AND($L121=$N$7,$C121&lt;'1111'!$N$10),"x","")</f>
        <v/>
      </c>
      <c r="Q121" s="103" t="str">
        <f>IF(AND($C121&gt;='1121'!$N$9,$C121&lt;='1121'!$O$9,OR($K121=$Q$7,$L121=$Q$7)),"x","")</f>
        <v/>
      </c>
      <c r="R121" s="103" t="str">
        <f>IF(AND($K121=$Q$7,$C121&lt;'1121'!$N$9),"x","")</f>
        <v/>
      </c>
      <c r="S121" s="103" t="str">
        <f>IF(AND($L121=$Q$7,$C121&lt;'1121'!$N$9),"x","")</f>
        <v>x</v>
      </c>
      <c r="T121" s="103" t="str">
        <f>IF(AND($C121&gt;='1331'!$I$9,$C121&lt;='1331'!$J$9,OR($K121=$T$7,$L121=$T$7)),"x","")</f>
        <v/>
      </c>
      <c r="U121" s="103" t="str">
        <f>IF(AND($K121=$T$7,$C121&lt;'1331'!$I$9),"x","")</f>
        <v/>
      </c>
      <c r="V121" s="103" t="str">
        <f>IF(AND($L121=$T$7,$C121&lt;'1331'!$I$9),"x","")</f>
        <v/>
      </c>
      <c r="W121" s="103" t="str">
        <f>IF(AND('3411-CT'!$E$9=TH!I121,OR(TH!K121=TH!$W$7,L121=TH!$W$7)),"x","")</f>
        <v/>
      </c>
      <c r="X121" s="103" t="str">
        <f>IF(OR(TH!K121=TH!$X$7,L121=TH!$X$7),"x","")</f>
        <v/>
      </c>
    </row>
    <row r="122" spans="1:24" s="88" customFormat="1">
      <c r="A122" s="178" t="str">
        <f>IF(E122&lt;&gt;"",IF(AND(B122='IN - TC'!$Q$4,OR(TH!K122="1111",TH!L122="1111")),TH!E122,""),"")</f>
        <v/>
      </c>
      <c r="B122" s="73">
        <f t="shared" si="12"/>
        <v>2014</v>
      </c>
      <c r="C122" s="73">
        <f t="shared" si="13"/>
        <v>8</v>
      </c>
      <c r="D122" s="74">
        <v>41871</v>
      </c>
      <c r="E122" s="74" t="s">
        <v>8</v>
      </c>
      <c r="F122" s="74">
        <v>41871</v>
      </c>
      <c r="G122" s="77" t="s">
        <v>22</v>
      </c>
      <c r="H122" s="180"/>
      <c r="I122" s="91"/>
      <c r="J122" s="75">
        <v>11363</v>
      </c>
      <c r="K122" s="76" t="s">
        <v>10</v>
      </c>
      <c r="L122" s="76" t="s">
        <v>34</v>
      </c>
      <c r="M122" s="103" t="str">
        <f>IF(AND('331-CT'!$E$7=TH!I122,OR(K122="331",L122="331")),"x","")</f>
        <v/>
      </c>
      <c r="N122" s="103" t="str">
        <f>IF(AND($C122&gt;='1111'!$N$10,$C122&lt;='1111'!$O$10,OR($K122=$N$7,$L122=$N$7)),"x","")</f>
        <v/>
      </c>
      <c r="O122" s="103" t="str">
        <f>IF(AND($K122=$N$7,$C122&lt;'1111'!$N$10),"x","")</f>
        <v/>
      </c>
      <c r="P122" s="103" t="str">
        <f>IF(AND($L122=$N$7,$C122&lt;'1111'!$N$10),"x","")</f>
        <v/>
      </c>
      <c r="Q122" s="103" t="str">
        <f>IF(AND($C122&gt;='1121'!$N$9,$C122&lt;='1121'!$O$9,OR($K122=$Q$7,$L122=$Q$7)),"x","")</f>
        <v/>
      </c>
      <c r="R122" s="103" t="str">
        <f>IF(AND($K122=$Q$7,$C122&lt;'1121'!$N$9),"x","")</f>
        <v/>
      </c>
      <c r="S122" s="103" t="str">
        <f>IF(AND($L122=$Q$7,$C122&lt;'1121'!$N$9),"x","")</f>
        <v>x</v>
      </c>
      <c r="T122" s="103" t="str">
        <f>IF(AND($C122&gt;='1331'!$I$9,$C122&lt;='1331'!$J$9,OR($K122=$T$7,$L122=$T$7)),"x","")</f>
        <v/>
      </c>
      <c r="U122" s="103" t="str">
        <f>IF(AND($K122=$T$7,$C122&lt;'1331'!$I$9),"x","")</f>
        <v/>
      </c>
      <c r="V122" s="103" t="str">
        <f>IF(AND($L122=$T$7,$C122&lt;'1331'!$I$9),"x","")</f>
        <v/>
      </c>
      <c r="W122" s="103" t="str">
        <f>IF(AND('3411-CT'!$E$9=TH!I122,OR(TH!K122=TH!$W$7,L122=TH!$W$7)),"x","")</f>
        <v/>
      </c>
      <c r="X122" s="103" t="str">
        <f>IF(OR(TH!K122=TH!$X$7,L122=TH!$X$7),"x","")</f>
        <v/>
      </c>
    </row>
    <row r="123" spans="1:24" s="88" customFormat="1">
      <c r="A123" s="178" t="str">
        <f>IF(E123&lt;&gt;"",IF(AND(B123='IN - TC'!$Q$4,OR(TH!K123="1111",TH!L123="1111")),TH!E123,""),"")</f>
        <v/>
      </c>
      <c r="B123" s="73">
        <f t="shared" si="12"/>
        <v>2014</v>
      </c>
      <c r="C123" s="73">
        <f t="shared" si="13"/>
        <v>8</v>
      </c>
      <c r="D123" s="74">
        <v>41871</v>
      </c>
      <c r="E123" s="74" t="s">
        <v>8</v>
      </c>
      <c r="F123" s="74">
        <v>41871</v>
      </c>
      <c r="G123" s="77" t="s">
        <v>364</v>
      </c>
      <c r="H123" s="180"/>
      <c r="I123" s="91"/>
      <c r="J123" s="75">
        <v>40000</v>
      </c>
      <c r="K123" s="76" t="s">
        <v>159</v>
      </c>
      <c r="L123" s="76" t="s">
        <v>34</v>
      </c>
      <c r="M123" s="103" t="str">
        <f>IF(AND('331-CT'!$E$7=TH!I123,OR(K123="331",L123="331")),"x","")</f>
        <v/>
      </c>
      <c r="N123" s="103" t="str">
        <f>IF(AND($C123&gt;='1111'!$N$10,$C123&lt;='1111'!$O$10,OR($K123=$N$7,$L123=$N$7)),"x","")</f>
        <v/>
      </c>
      <c r="O123" s="103" t="str">
        <f>IF(AND($K123=$N$7,$C123&lt;'1111'!$N$10),"x","")</f>
        <v/>
      </c>
      <c r="P123" s="103" t="str">
        <f>IF(AND($L123=$N$7,$C123&lt;'1111'!$N$10),"x","")</f>
        <v/>
      </c>
      <c r="Q123" s="103" t="str">
        <f>IF(AND($C123&gt;='1121'!$N$9,$C123&lt;='1121'!$O$9,OR($K123=$Q$7,$L123=$Q$7)),"x","")</f>
        <v/>
      </c>
      <c r="R123" s="103" t="str">
        <f>IF(AND($K123=$Q$7,$C123&lt;'1121'!$N$9),"x","")</f>
        <v/>
      </c>
      <c r="S123" s="103" t="str">
        <f>IF(AND($L123=$Q$7,$C123&lt;'1121'!$N$9),"x","")</f>
        <v>x</v>
      </c>
      <c r="T123" s="103" t="str">
        <f>IF(AND($C123&gt;='1331'!$I$9,$C123&lt;='1331'!$J$9,OR($K123=$T$7,$L123=$T$7)),"x","")</f>
        <v/>
      </c>
      <c r="U123" s="103" t="str">
        <f>IF(AND($K123=$T$7,$C123&lt;'1331'!$I$9),"x","")</f>
        <v/>
      </c>
      <c r="V123" s="103" t="str">
        <f>IF(AND($L123=$T$7,$C123&lt;'1331'!$I$9),"x","")</f>
        <v/>
      </c>
      <c r="W123" s="103" t="str">
        <f>IF(AND('3411-CT'!$E$9=TH!I123,OR(TH!K123=TH!$W$7,L123=TH!$W$7)),"x","")</f>
        <v/>
      </c>
      <c r="X123" s="103" t="str">
        <f>IF(OR(TH!K123=TH!$X$7,L123=TH!$X$7),"x","")</f>
        <v/>
      </c>
    </row>
    <row r="124" spans="1:24" s="88" customFormat="1">
      <c r="A124" s="178" t="str">
        <f>IF(E124&lt;&gt;"",IF(AND(B124='IN - TC'!$Q$4,OR(TH!K124="1111",TH!L124="1111")),TH!E124,""),"")</f>
        <v/>
      </c>
      <c r="B124" s="73">
        <f t="shared" si="12"/>
        <v>2014</v>
      </c>
      <c r="C124" s="73">
        <f t="shared" si="13"/>
        <v>8</v>
      </c>
      <c r="D124" s="74">
        <v>41871</v>
      </c>
      <c r="E124" s="74" t="s">
        <v>8</v>
      </c>
      <c r="F124" s="74">
        <v>41871</v>
      </c>
      <c r="G124" s="80" t="s">
        <v>365</v>
      </c>
      <c r="H124" s="180"/>
      <c r="I124" s="91"/>
      <c r="J124" s="75">
        <v>4000</v>
      </c>
      <c r="K124" s="79" t="s">
        <v>10</v>
      </c>
      <c r="L124" s="76" t="s">
        <v>34</v>
      </c>
      <c r="M124" s="103" t="str">
        <f>IF(AND('331-CT'!$E$7=TH!I124,OR(K124="331",L124="331")),"x","")</f>
        <v/>
      </c>
      <c r="N124" s="103" t="str">
        <f>IF(AND($C124&gt;='1111'!$N$10,$C124&lt;='1111'!$O$10,OR($K124=$N$7,$L124=$N$7)),"x","")</f>
        <v/>
      </c>
      <c r="O124" s="103" t="str">
        <f>IF(AND($K124=$N$7,$C124&lt;'1111'!$N$10),"x","")</f>
        <v/>
      </c>
      <c r="P124" s="103" t="str">
        <f>IF(AND($L124=$N$7,$C124&lt;'1111'!$N$10),"x","")</f>
        <v/>
      </c>
      <c r="Q124" s="103" t="str">
        <f>IF(AND($C124&gt;='1121'!$N$9,$C124&lt;='1121'!$O$9,OR($K124=$Q$7,$L124=$Q$7)),"x","")</f>
        <v/>
      </c>
      <c r="R124" s="103" t="str">
        <f>IF(AND($K124=$Q$7,$C124&lt;'1121'!$N$9),"x","")</f>
        <v/>
      </c>
      <c r="S124" s="103" t="str">
        <f>IF(AND($L124=$Q$7,$C124&lt;'1121'!$N$9),"x","")</f>
        <v>x</v>
      </c>
      <c r="T124" s="103" t="str">
        <f>IF(AND($C124&gt;='1331'!$I$9,$C124&lt;='1331'!$J$9,OR($K124=$T$7,$L124=$T$7)),"x","")</f>
        <v/>
      </c>
      <c r="U124" s="103" t="str">
        <f>IF(AND($K124=$T$7,$C124&lt;'1331'!$I$9),"x","")</f>
        <v/>
      </c>
      <c r="V124" s="103" t="str">
        <f>IF(AND($L124=$T$7,$C124&lt;'1331'!$I$9),"x","")</f>
        <v/>
      </c>
      <c r="W124" s="103" t="str">
        <f>IF(AND('3411-CT'!$E$9=TH!I124,OR(TH!K124=TH!$W$7,L124=TH!$W$7)),"x","")</f>
        <v/>
      </c>
      <c r="X124" s="103" t="str">
        <f>IF(OR(TH!K124=TH!$X$7,L124=TH!$X$7),"x","")</f>
        <v/>
      </c>
    </row>
    <row r="125" spans="1:24" s="88" customFormat="1">
      <c r="A125" s="178" t="str">
        <f>IF(E125&lt;&gt;"",IF(AND(B125='IN - TC'!$Q$4,OR(TH!K125="1111",TH!L125="1111")),TH!E125,""),"")</f>
        <v/>
      </c>
      <c r="B125" s="73">
        <f t="shared" si="12"/>
        <v>2014</v>
      </c>
      <c r="C125" s="73">
        <f t="shared" si="13"/>
        <v>8</v>
      </c>
      <c r="D125" s="74">
        <v>41872</v>
      </c>
      <c r="E125" s="74" t="s">
        <v>49</v>
      </c>
      <c r="F125" s="74">
        <v>41872</v>
      </c>
      <c r="G125" s="77" t="s">
        <v>366</v>
      </c>
      <c r="H125" s="180" t="s">
        <v>367</v>
      </c>
      <c r="I125" s="92" t="s">
        <v>71</v>
      </c>
      <c r="J125" s="75">
        <v>72727273</v>
      </c>
      <c r="K125" s="76" t="s">
        <v>248</v>
      </c>
      <c r="L125" s="76" t="s">
        <v>9</v>
      </c>
      <c r="M125" s="103" t="str">
        <f>IF(AND('331-CT'!$E$7=TH!I125,OR(K125="331",L125="331")),"x","")</f>
        <v/>
      </c>
      <c r="N125" s="103" t="str">
        <f>IF(AND($C125&gt;='1111'!$N$10,$C125&lt;='1111'!$O$10,OR($K125=$N$7,$L125=$N$7)),"x","")</f>
        <v/>
      </c>
      <c r="O125" s="103" t="str">
        <f>IF(AND($K125=$N$7,$C125&lt;'1111'!$N$10),"x","")</f>
        <v/>
      </c>
      <c r="P125" s="103" t="str">
        <f>IF(AND($L125=$N$7,$C125&lt;'1111'!$N$10),"x","")</f>
        <v/>
      </c>
      <c r="Q125" s="103" t="str">
        <f>IF(AND($C125&gt;='1121'!$N$9,$C125&lt;='1121'!$O$9,OR($K125=$Q$7,$L125=$Q$7)),"x","")</f>
        <v/>
      </c>
      <c r="R125" s="103" t="str">
        <f>IF(AND($K125=$Q$7,$C125&lt;'1121'!$N$9),"x","")</f>
        <v/>
      </c>
      <c r="S125" s="103" t="str">
        <f>IF(AND($L125=$Q$7,$C125&lt;'1121'!$N$9),"x","")</f>
        <v/>
      </c>
      <c r="T125" s="103" t="str">
        <f>IF(AND($C125&gt;='1331'!$I$9,$C125&lt;='1331'!$J$9,OR($K125=$T$7,$L125=$T$7)),"x","")</f>
        <v/>
      </c>
      <c r="U125" s="103" t="str">
        <f>IF(AND($K125=$T$7,$C125&lt;'1331'!$I$9),"x","")</f>
        <v/>
      </c>
      <c r="V125" s="103" t="str">
        <f>IF(AND($L125=$T$7,$C125&lt;'1331'!$I$9),"x","")</f>
        <v/>
      </c>
      <c r="W125" s="103" t="str">
        <f>IF(AND('3411-CT'!$E$9=TH!I125,OR(TH!K125=TH!$W$7,L125=TH!$W$7)),"x","")</f>
        <v/>
      </c>
      <c r="X125" s="103" t="str">
        <f>IF(OR(TH!K125=TH!$X$7,L125=TH!$X$7),"x","")</f>
        <v/>
      </c>
    </row>
    <row r="126" spans="1:24" s="88" customFormat="1">
      <c r="A126" s="178" t="str">
        <f>IF(E126&lt;&gt;"",IF(AND(B126='IN - TC'!$Q$4,OR(TH!K126="1111",TH!L126="1111")),TH!E126,""),"")</f>
        <v/>
      </c>
      <c r="B126" s="73">
        <f t="shared" si="12"/>
        <v>2014</v>
      </c>
      <c r="C126" s="73">
        <f t="shared" si="13"/>
        <v>8</v>
      </c>
      <c r="D126" s="74">
        <v>41872</v>
      </c>
      <c r="E126" s="74" t="s">
        <v>49</v>
      </c>
      <c r="F126" s="74">
        <v>41872</v>
      </c>
      <c r="G126" s="77" t="s">
        <v>368</v>
      </c>
      <c r="H126" s="180" t="s">
        <v>367</v>
      </c>
      <c r="I126" s="91" t="s">
        <v>71</v>
      </c>
      <c r="J126" s="75">
        <v>7272727</v>
      </c>
      <c r="K126" s="76" t="s">
        <v>10</v>
      </c>
      <c r="L126" s="76" t="s">
        <v>9</v>
      </c>
      <c r="M126" s="103" t="str">
        <f>IF(AND('331-CT'!$E$7=TH!I126,OR(K126="331",L126="331")),"x","")</f>
        <v/>
      </c>
      <c r="N126" s="103" t="str">
        <f>IF(AND($C126&gt;='1111'!$N$10,$C126&lt;='1111'!$O$10,OR($K126=$N$7,$L126=$N$7)),"x","")</f>
        <v/>
      </c>
      <c r="O126" s="103" t="str">
        <f>IF(AND($K126=$N$7,$C126&lt;'1111'!$N$10),"x","")</f>
        <v/>
      </c>
      <c r="P126" s="103" t="str">
        <f>IF(AND($L126=$N$7,$C126&lt;'1111'!$N$10),"x","")</f>
        <v/>
      </c>
      <c r="Q126" s="103" t="str">
        <f>IF(AND($C126&gt;='1121'!$N$9,$C126&lt;='1121'!$O$9,OR($K126=$Q$7,$L126=$Q$7)),"x","")</f>
        <v/>
      </c>
      <c r="R126" s="103" t="str">
        <f>IF(AND($K126=$Q$7,$C126&lt;'1121'!$N$9),"x","")</f>
        <v/>
      </c>
      <c r="S126" s="103" t="str">
        <f>IF(AND($L126=$Q$7,$C126&lt;'1121'!$N$9),"x","")</f>
        <v/>
      </c>
      <c r="T126" s="103" t="str">
        <f>IF(AND($C126&gt;='1331'!$I$9,$C126&lt;='1331'!$J$9,OR($K126=$T$7,$L126=$T$7)),"x","")</f>
        <v/>
      </c>
      <c r="U126" s="103" t="str">
        <f>IF(AND($K126=$T$7,$C126&lt;'1331'!$I$9),"x","")</f>
        <v/>
      </c>
      <c r="V126" s="103" t="str">
        <f>IF(AND($L126=$T$7,$C126&lt;'1331'!$I$9),"x","")</f>
        <v/>
      </c>
      <c r="W126" s="103" t="str">
        <f>IF(AND('3411-CT'!$E$9=TH!I126,OR(TH!K126=TH!$W$7,L126=TH!$W$7)),"x","")</f>
        <v/>
      </c>
      <c r="X126" s="103" t="str">
        <f>IF(OR(TH!K126=TH!$X$7,L126=TH!$X$7),"x","")</f>
        <v/>
      </c>
    </row>
    <row r="127" spans="1:24" s="88" customFormat="1">
      <c r="A127" s="178" t="str">
        <f>IF(E127&lt;&gt;"",IF(AND(B127='IN - TC'!$Q$4,OR(TH!K127="1111",TH!L127="1111")),TH!E127,""),"")</f>
        <v/>
      </c>
      <c r="B127" s="73">
        <f t="shared" si="12"/>
        <v>2014</v>
      </c>
      <c r="C127" s="73">
        <f t="shared" si="13"/>
        <v>8</v>
      </c>
      <c r="D127" s="74">
        <v>41876</v>
      </c>
      <c r="E127" s="74" t="s">
        <v>11</v>
      </c>
      <c r="F127" s="74">
        <v>41876</v>
      </c>
      <c r="G127" s="77" t="s">
        <v>66</v>
      </c>
      <c r="H127" s="180"/>
      <c r="I127" s="91"/>
      <c r="J127" s="75">
        <v>38769</v>
      </c>
      <c r="K127" s="76" t="s">
        <v>34</v>
      </c>
      <c r="L127" s="76" t="s">
        <v>67</v>
      </c>
      <c r="M127" s="103" t="str">
        <f>IF(AND('331-CT'!$E$7=TH!I127,OR(K127="331",L127="331")),"x","")</f>
        <v/>
      </c>
      <c r="N127" s="103" t="str">
        <f>IF(AND($C127&gt;='1111'!$N$10,$C127&lt;='1111'!$O$10,OR($K127=$N$7,$L127=$N$7)),"x","")</f>
        <v/>
      </c>
      <c r="O127" s="103" t="str">
        <f>IF(AND($K127=$N$7,$C127&lt;'1111'!$N$10),"x","")</f>
        <v/>
      </c>
      <c r="P127" s="103" t="str">
        <f>IF(AND($L127=$N$7,$C127&lt;'1111'!$N$10),"x","")</f>
        <v/>
      </c>
      <c r="Q127" s="103" t="str">
        <f>IF(AND($C127&gt;='1121'!$N$9,$C127&lt;='1121'!$O$9,OR($K127=$Q$7,$L127=$Q$7)),"x","")</f>
        <v/>
      </c>
      <c r="R127" s="103" t="str">
        <f>IF(AND($K127=$Q$7,$C127&lt;'1121'!$N$9),"x","")</f>
        <v>x</v>
      </c>
      <c r="S127" s="103" t="str">
        <f>IF(AND($L127=$Q$7,$C127&lt;'1121'!$N$9),"x","")</f>
        <v/>
      </c>
      <c r="T127" s="103" t="str">
        <f>IF(AND($C127&gt;='1331'!$I$9,$C127&lt;='1331'!$J$9,OR($K127=$T$7,$L127=$T$7)),"x","")</f>
        <v/>
      </c>
      <c r="U127" s="103" t="str">
        <f>IF(AND($K127=$T$7,$C127&lt;'1331'!$I$9),"x","")</f>
        <v/>
      </c>
      <c r="V127" s="103" t="str">
        <f>IF(AND($L127=$T$7,$C127&lt;'1331'!$I$9),"x","")</f>
        <v/>
      </c>
      <c r="W127" s="103" t="str">
        <f>IF(AND('3411-CT'!$E$9=TH!I127,OR(TH!K127=TH!$W$7,L127=TH!$W$7)),"x","")</f>
        <v/>
      </c>
      <c r="X127" s="103" t="str">
        <f>IF(OR(TH!K127=TH!$X$7,L127=TH!$X$7),"x","")</f>
        <v/>
      </c>
    </row>
    <row r="128" spans="1:24" s="88" customFormat="1">
      <c r="A128" s="178" t="str">
        <f>IF(E128&lt;&gt;"",IF(AND(B128='IN - TC'!$Q$4,OR(TH!K128="1111",TH!L128="1111")),TH!E128,""),"")</f>
        <v/>
      </c>
      <c r="B128" s="73">
        <f t="shared" si="12"/>
        <v>2014</v>
      </c>
      <c r="C128" s="73">
        <f t="shared" si="13"/>
        <v>8</v>
      </c>
      <c r="D128" s="74">
        <v>41877</v>
      </c>
      <c r="E128" s="74" t="s">
        <v>49</v>
      </c>
      <c r="F128" s="74">
        <v>41877</v>
      </c>
      <c r="G128" s="172" t="s">
        <v>369</v>
      </c>
      <c r="H128" s="184" t="s">
        <v>370</v>
      </c>
      <c r="I128" s="92" t="s">
        <v>57</v>
      </c>
      <c r="J128" s="75">
        <v>1443034000</v>
      </c>
      <c r="K128" s="76" t="s">
        <v>248</v>
      </c>
      <c r="L128" s="76" t="s">
        <v>9</v>
      </c>
      <c r="M128" s="103" t="str">
        <f>IF(AND('331-CT'!$E$7=TH!I128,OR(K128="331",L128="331")),"x","")</f>
        <v/>
      </c>
      <c r="N128" s="103" t="str">
        <f>IF(AND($C128&gt;='1111'!$N$10,$C128&lt;='1111'!$O$10,OR($K128=$N$7,$L128=$N$7)),"x","")</f>
        <v/>
      </c>
      <c r="O128" s="103" t="str">
        <f>IF(AND($K128=$N$7,$C128&lt;'1111'!$N$10),"x","")</f>
        <v/>
      </c>
      <c r="P128" s="103" t="str">
        <f>IF(AND($L128=$N$7,$C128&lt;'1111'!$N$10),"x","")</f>
        <v/>
      </c>
      <c r="Q128" s="103" t="str">
        <f>IF(AND($C128&gt;='1121'!$N$9,$C128&lt;='1121'!$O$9,OR($K128=$Q$7,$L128=$Q$7)),"x","")</f>
        <v/>
      </c>
      <c r="R128" s="103" t="str">
        <f>IF(AND($K128=$Q$7,$C128&lt;'1121'!$N$9),"x","")</f>
        <v/>
      </c>
      <c r="S128" s="103" t="str">
        <f>IF(AND($L128=$Q$7,$C128&lt;'1121'!$N$9),"x","")</f>
        <v/>
      </c>
      <c r="T128" s="103" t="str">
        <f>IF(AND($C128&gt;='1331'!$I$9,$C128&lt;='1331'!$J$9,OR($K128=$T$7,$L128=$T$7)),"x","")</f>
        <v/>
      </c>
      <c r="U128" s="103" t="str">
        <f>IF(AND($K128=$T$7,$C128&lt;'1331'!$I$9),"x","")</f>
        <v/>
      </c>
      <c r="V128" s="103" t="str">
        <f>IF(AND($L128=$T$7,$C128&lt;'1331'!$I$9),"x","")</f>
        <v/>
      </c>
      <c r="W128" s="103" t="str">
        <f>IF(AND('3411-CT'!$E$9=TH!I128,OR(TH!K128=TH!$W$7,L128=TH!$W$7)),"x","")</f>
        <v/>
      </c>
      <c r="X128" s="103" t="str">
        <f>IF(OR(TH!K128=TH!$X$7,L128=TH!$X$7),"x","")</f>
        <v/>
      </c>
    </row>
    <row r="129" spans="1:24" s="88" customFormat="1">
      <c r="A129" s="178" t="str">
        <f>IF(E129&lt;&gt;"",IF(AND(B129='IN - TC'!$Q$4,OR(TH!K129="1111",TH!L129="1111")),TH!E129,""),"")</f>
        <v/>
      </c>
      <c r="B129" s="73">
        <f t="shared" si="12"/>
        <v>2014</v>
      </c>
      <c r="C129" s="73">
        <f t="shared" si="13"/>
        <v>8</v>
      </c>
      <c r="D129" s="74">
        <v>41877</v>
      </c>
      <c r="E129" s="74" t="s">
        <v>49</v>
      </c>
      <c r="F129" s="74">
        <v>41877</v>
      </c>
      <c r="G129" s="77" t="s">
        <v>371</v>
      </c>
      <c r="H129" s="180" t="s">
        <v>370</v>
      </c>
      <c r="I129" s="91" t="s">
        <v>57</v>
      </c>
      <c r="J129" s="75">
        <v>144303400</v>
      </c>
      <c r="K129" s="76" t="s">
        <v>10</v>
      </c>
      <c r="L129" s="76" t="s">
        <v>9</v>
      </c>
      <c r="M129" s="103" t="str">
        <f>IF(AND('331-CT'!$E$7=TH!I129,OR(K129="331",L129="331")),"x","")</f>
        <v/>
      </c>
      <c r="N129" s="103" t="str">
        <f>IF(AND($C129&gt;='1111'!$N$10,$C129&lt;='1111'!$O$10,OR($K129=$N$7,$L129=$N$7)),"x","")</f>
        <v/>
      </c>
      <c r="O129" s="103" t="str">
        <f>IF(AND($K129=$N$7,$C129&lt;'1111'!$N$10),"x","")</f>
        <v/>
      </c>
      <c r="P129" s="103" t="str">
        <f>IF(AND($L129=$N$7,$C129&lt;'1111'!$N$10),"x","")</f>
        <v/>
      </c>
      <c r="Q129" s="103" t="str">
        <f>IF(AND($C129&gt;='1121'!$N$9,$C129&lt;='1121'!$O$9,OR($K129=$Q$7,$L129=$Q$7)),"x","")</f>
        <v/>
      </c>
      <c r="R129" s="103" t="str">
        <f>IF(AND($K129=$Q$7,$C129&lt;'1121'!$N$9),"x","")</f>
        <v/>
      </c>
      <c r="S129" s="103" t="str">
        <f>IF(AND($L129=$Q$7,$C129&lt;'1121'!$N$9),"x","")</f>
        <v/>
      </c>
      <c r="T129" s="103" t="str">
        <f>IF(AND($C129&gt;='1331'!$I$9,$C129&lt;='1331'!$J$9,OR($K129=$T$7,$L129=$T$7)),"x","")</f>
        <v/>
      </c>
      <c r="U129" s="103" t="str">
        <f>IF(AND($K129=$T$7,$C129&lt;'1331'!$I$9),"x","")</f>
        <v/>
      </c>
      <c r="V129" s="103" t="str">
        <f>IF(AND($L129=$T$7,$C129&lt;'1331'!$I$9),"x","")</f>
        <v/>
      </c>
      <c r="W129" s="103" t="str">
        <f>IF(AND('3411-CT'!$E$9=TH!I129,OR(TH!K129=TH!$W$7,L129=TH!$W$7)),"x","")</f>
        <v/>
      </c>
      <c r="X129" s="103" t="str">
        <f>IF(OR(TH!K129=TH!$X$7,L129=TH!$X$7),"x","")</f>
        <v/>
      </c>
    </row>
    <row r="130" spans="1:24" s="88" customFormat="1">
      <c r="A130" s="178" t="str">
        <f>IF(E130&lt;&gt;"",IF(AND(B130='IN - TC'!$Q$4,OR(TH!K130="1111",TH!L130="1111")),TH!E130,""),"")</f>
        <v/>
      </c>
      <c r="B130" s="73">
        <f t="shared" si="12"/>
        <v>2014</v>
      </c>
      <c r="C130" s="73">
        <f t="shared" si="13"/>
        <v>9</v>
      </c>
      <c r="D130" s="74">
        <v>41894</v>
      </c>
      <c r="E130" s="74" t="s">
        <v>8</v>
      </c>
      <c r="F130" s="74">
        <v>41894</v>
      </c>
      <c r="G130" s="77" t="s">
        <v>354</v>
      </c>
      <c r="H130" s="180"/>
      <c r="I130" s="91" t="s">
        <v>59</v>
      </c>
      <c r="J130" s="75">
        <v>50000000</v>
      </c>
      <c r="K130" s="76" t="s">
        <v>9</v>
      </c>
      <c r="L130" s="76" t="s">
        <v>34</v>
      </c>
      <c r="M130" s="103" t="str">
        <f>IF(AND('331-CT'!$E$7=TH!I130,OR(K130="331",L130="331")),"x","")</f>
        <v/>
      </c>
      <c r="N130" s="103" t="str">
        <f>IF(AND($C130&gt;='1111'!$N$10,$C130&lt;='1111'!$O$10,OR($K130=$N$7,$L130=$N$7)),"x","")</f>
        <v/>
      </c>
      <c r="O130" s="103" t="str">
        <f>IF(AND($K130=$N$7,$C130&lt;'1111'!$N$10),"x","")</f>
        <v/>
      </c>
      <c r="P130" s="103" t="str">
        <f>IF(AND($L130=$N$7,$C130&lt;'1111'!$N$10),"x","")</f>
        <v/>
      </c>
      <c r="Q130" s="103" t="str">
        <f>IF(AND($C130&gt;='1121'!$N$9,$C130&lt;='1121'!$O$9,OR($K130=$Q$7,$L130=$Q$7)),"x","")</f>
        <v/>
      </c>
      <c r="R130" s="103" t="str">
        <f>IF(AND($K130=$Q$7,$C130&lt;'1121'!$N$9),"x","")</f>
        <v/>
      </c>
      <c r="S130" s="103" t="str">
        <f>IF(AND($L130=$Q$7,$C130&lt;'1121'!$N$9),"x","")</f>
        <v>x</v>
      </c>
      <c r="T130" s="103" t="str">
        <f>IF(AND($C130&gt;='1331'!$I$9,$C130&lt;='1331'!$J$9,OR($K130=$T$7,$L130=$T$7)),"x","")</f>
        <v/>
      </c>
      <c r="U130" s="103" t="str">
        <f>IF(AND($K130=$T$7,$C130&lt;'1331'!$I$9),"x","")</f>
        <v/>
      </c>
      <c r="V130" s="103" t="str">
        <f>IF(AND($L130=$T$7,$C130&lt;'1331'!$I$9),"x","")</f>
        <v/>
      </c>
      <c r="W130" s="103" t="str">
        <f>IF(AND('3411-CT'!$E$9=TH!I130,OR(TH!K130=TH!$W$7,L130=TH!$W$7)),"x","")</f>
        <v/>
      </c>
      <c r="X130" s="103" t="str">
        <f>IF(OR(TH!K130=TH!$X$7,L130=TH!$X$7),"x","")</f>
        <v/>
      </c>
    </row>
    <row r="131" spans="1:24" s="88" customFormat="1">
      <c r="A131" s="178" t="str">
        <f>IF(E131&lt;&gt;"",IF(AND(B131='IN - TC'!$Q$4,OR(TH!K131="1111",TH!L131="1111")),TH!E131,""),"")</f>
        <v/>
      </c>
      <c r="B131" s="73">
        <f t="shared" si="12"/>
        <v>2014</v>
      </c>
      <c r="C131" s="73">
        <f t="shared" si="13"/>
        <v>9</v>
      </c>
      <c r="D131" s="74">
        <v>41894</v>
      </c>
      <c r="E131" s="74" t="s">
        <v>8</v>
      </c>
      <c r="F131" s="74">
        <v>41894</v>
      </c>
      <c r="G131" s="77" t="s">
        <v>21</v>
      </c>
      <c r="H131" s="180"/>
      <c r="I131" s="91"/>
      <c r="J131" s="75">
        <v>25000</v>
      </c>
      <c r="K131" s="76" t="s">
        <v>159</v>
      </c>
      <c r="L131" s="76" t="s">
        <v>34</v>
      </c>
      <c r="M131" s="103" t="str">
        <f>IF(AND('331-CT'!$E$7=TH!I131,OR(K131="331",L131="331")),"x","")</f>
        <v/>
      </c>
      <c r="N131" s="103" t="str">
        <f>IF(AND($C131&gt;='1111'!$N$10,$C131&lt;='1111'!$O$10,OR($K131=$N$7,$L131=$N$7)),"x","")</f>
        <v/>
      </c>
      <c r="O131" s="103" t="str">
        <f>IF(AND($K131=$N$7,$C131&lt;'1111'!$N$10),"x","")</f>
        <v/>
      </c>
      <c r="P131" s="103" t="str">
        <f>IF(AND($L131=$N$7,$C131&lt;'1111'!$N$10),"x","")</f>
        <v/>
      </c>
      <c r="Q131" s="103" t="str">
        <f>IF(AND($C131&gt;='1121'!$N$9,$C131&lt;='1121'!$O$9,OR($K131=$Q$7,$L131=$Q$7)),"x","")</f>
        <v/>
      </c>
      <c r="R131" s="103" t="str">
        <f>IF(AND($K131=$Q$7,$C131&lt;'1121'!$N$9),"x","")</f>
        <v/>
      </c>
      <c r="S131" s="103" t="str">
        <f>IF(AND($L131=$Q$7,$C131&lt;'1121'!$N$9),"x","")</f>
        <v>x</v>
      </c>
      <c r="T131" s="103" t="str">
        <f>IF(AND($C131&gt;='1331'!$I$9,$C131&lt;='1331'!$J$9,OR($K131=$T$7,$L131=$T$7)),"x","")</f>
        <v/>
      </c>
      <c r="U131" s="103" t="str">
        <f>IF(AND($K131=$T$7,$C131&lt;'1331'!$I$9),"x","")</f>
        <v/>
      </c>
      <c r="V131" s="103" t="str">
        <f>IF(AND($L131=$T$7,$C131&lt;'1331'!$I$9),"x","")</f>
        <v/>
      </c>
      <c r="W131" s="103" t="str">
        <f>IF(AND('3411-CT'!$E$9=TH!I131,OR(TH!K131=TH!$W$7,L131=TH!$W$7)),"x","")</f>
        <v/>
      </c>
      <c r="X131" s="103" t="str">
        <f>IF(OR(TH!K131=TH!$X$7,L131=TH!$X$7),"x","")</f>
        <v/>
      </c>
    </row>
    <row r="132" spans="1:24" s="88" customFormat="1">
      <c r="A132" s="178" t="str">
        <f>IF(E132&lt;&gt;"",IF(AND(B132='IN - TC'!$Q$4,OR(TH!K132="1111",TH!L132="1111")),TH!E132,""),"")</f>
        <v/>
      </c>
      <c r="B132" s="73">
        <f t="shared" si="10"/>
        <v>2014</v>
      </c>
      <c r="C132" s="73">
        <f t="shared" si="11"/>
        <v>9</v>
      </c>
      <c r="D132" s="74">
        <v>41894</v>
      </c>
      <c r="E132" s="74" t="s">
        <v>8</v>
      </c>
      <c r="F132" s="74">
        <v>41894</v>
      </c>
      <c r="G132" s="77" t="s">
        <v>22</v>
      </c>
      <c r="H132" s="180"/>
      <c r="I132" s="91"/>
      <c r="J132" s="75">
        <v>2500</v>
      </c>
      <c r="K132" s="76" t="s">
        <v>10</v>
      </c>
      <c r="L132" s="76" t="s">
        <v>34</v>
      </c>
      <c r="M132" s="103" t="str">
        <f>IF(AND('331-CT'!$E$7=TH!I132,OR(K132="331",L132="331")),"x","")</f>
        <v/>
      </c>
      <c r="N132" s="103" t="str">
        <f>IF(AND($C132&gt;='1111'!$N$10,$C132&lt;='1111'!$O$10,OR($K132=$N$7,$L132=$N$7)),"x","")</f>
        <v/>
      </c>
      <c r="O132" s="103" t="str">
        <f>IF(AND($K132=$N$7,$C132&lt;'1111'!$N$10),"x","")</f>
        <v/>
      </c>
      <c r="P132" s="103" t="str">
        <f>IF(AND($L132=$N$7,$C132&lt;'1111'!$N$10),"x","")</f>
        <v/>
      </c>
      <c r="Q132" s="103" t="str">
        <f>IF(AND($C132&gt;='1121'!$N$9,$C132&lt;='1121'!$O$9,OR($K132=$Q$7,$L132=$Q$7)),"x","")</f>
        <v/>
      </c>
      <c r="R132" s="103" t="str">
        <f>IF(AND($K132=$Q$7,$C132&lt;'1121'!$N$9),"x","")</f>
        <v/>
      </c>
      <c r="S132" s="103" t="str">
        <f>IF(AND($L132=$Q$7,$C132&lt;'1121'!$N$9),"x","")</f>
        <v>x</v>
      </c>
      <c r="T132" s="103" t="str">
        <f>IF(AND($C132&gt;='1331'!$I$9,$C132&lt;='1331'!$J$9,OR($K132=$T$7,$L132=$T$7)),"x","")</f>
        <v/>
      </c>
      <c r="U132" s="103" t="str">
        <f>IF(AND($K132=$T$7,$C132&lt;'1331'!$I$9),"x","")</f>
        <v/>
      </c>
      <c r="V132" s="103" t="str">
        <f>IF(AND($L132=$T$7,$C132&lt;'1331'!$I$9),"x","")</f>
        <v/>
      </c>
      <c r="W132" s="103" t="str">
        <f>IF(AND('3411-CT'!$E$9=TH!I132,OR(TH!K132=TH!$W$7,L132=TH!$W$7)),"x","")</f>
        <v/>
      </c>
      <c r="X132" s="103" t="str">
        <f>IF(OR(TH!K132=TH!$X$7,L132=TH!$X$7),"x","")</f>
        <v/>
      </c>
    </row>
    <row r="133" spans="1:24" s="88" customFormat="1">
      <c r="A133" s="178" t="str">
        <f>IF(E133&lt;&gt;"",IF(AND(B133='IN - TC'!$Q$4,OR(TH!K133="1111",TH!L133="1111")),TH!E133,""),"")</f>
        <v>C15</v>
      </c>
      <c r="B133" s="73">
        <f t="shared" si="10"/>
        <v>2014</v>
      </c>
      <c r="C133" s="73">
        <f t="shared" si="11"/>
        <v>9</v>
      </c>
      <c r="D133" s="74">
        <v>41905</v>
      </c>
      <c r="E133" s="74" t="s">
        <v>96</v>
      </c>
      <c r="F133" s="74">
        <v>41905</v>
      </c>
      <c r="G133" s="77" t="s">
        <v>223</v>
      </c>
      <c r="H133" s="180"/>
      <c r="I133" s="91" t="s">
        <v>184</v>
      </c>
      <c r="J133" s="75">
        <v>9000000</v>
      </c>
      <c r="K133" s="76" t="s">
        <v>23</v>
      </c>
      <c r="L133" s="76" t="s">
        <v>120</v>
      </c>
      <c r="M133" s="103" t="str">
        <f>IF(AND('331-CT'!$E$7=TH!I133,OR(K133="331",L133="331")),"x","")</f>
        <v/>
      </c>
      <c r="N133" s="103" t="str">
        <f>IF(AND($C133&gt;='1111'!$N$10,$C133&lt;='1111'!$O$10,OR($K133=$N$7,$L133=$N$7)),"x","")</f>
        <v/>
      </c>
      <c r="O133" s="103" t="str">
        <f>IF(AND($K133=$N$7,$C133&lt;'1111'!$N$10),"x","")</f>
        <v/>
      </c>
      <c r="P133" s="103" t="str">
        <f>IF(AND($L133=$N$7,$C133&lt;'1111'!$N$10),"x","")</f>
        <v>x</v>
      </c>
      <c r="Q133" s="103" t="str">
        <f>IF(AND($C133&gt;='1121'!$N$9,$C133&lt;='1121'!$O$9,OR($K133=$Q$7,$L133=$Q$7)),"x","")</f>
        <v/>
      </c>
      <c r="R133" s="103" t="str">
        <f>IF(AND($K133=$Q$7,$C133&lt;'1121'!$N$9),"x","")</f>
        <v/>
      </c>
      <c r="S133" s="103" t="str">
        <f>IF(AND($L133=$Q$7,$C133&lt;'1121'!$N$9),"x","")</f>
        <v/>
      </c>
      <c r="T133" s="103" t="str">
        <f>IF(AND($C133&gt;='1331'!$I$9,$C133&lt;='1331'!$J$9,OR($K133=$T$7,$L133=$T$7)),"x","")</f>
        <v/>
      </c>
      <c r="U133" s="103" t="str">
        <f>IF(AND($K133=$T$7,$C133&lt;'1331'!$I$9),"x","")</f>
        <v/>
      </c>
      <c r="V133" s="103" t="str">
        <f>IF(AND($L133=$T$7,$C133&lt;'1331'!$I$9),"x","")</f>
        <v/>
      </c>
      <c r="W133" s="103" t="str">
        <f>IF(AND('3411-CT'!$E$9=TH!I133,OR(TH!K133=TH!$W$7,L133=TH!$W$7)),"x","")</f>
        <v/>
      </c>
      <c r="X133" s="103" t="str">
        <f>IF(OR(TH!K133=TH!$X$7,L133=TH!$X$7),"x","")</f>
        <v/>
      </c>
    </row>
    <row r="134" spans="1:24" s="88" customFormat="1">
      <c r="A134" s="178" t="str">
        <f>IF(E134&lt;&gt;"",IF(AND(B134='IN - TC'!$Q$4,OR(TH!K134="1111",TH!L134="1111")),TH!E134,""),"")</f>
        <v/>
      </c>
      <c r="B134" s="73">
        <f t="shared" si="10"/>
        <v>2014</v>
      </c>
      <c r="C134" s="73">
        <f t="shared" si="11"/>
        <v>9</v>
      </c>
      <c r="D134" s="74">
        <v>41905</v>
      </c>
      <c r="E134" s="74" t="s">
        <v>11</v>
      </c>
      <c r="F134" s="74">
        <v>41905</v>
      </c>
      <c r="G134" s="77" t="s">
        <v>27</v>
      </c>
      <c r="H134" s="180"/>
      <c r="I134" s="91" t="s">
        <v>184</v>
      </c>
      <c r="J134" s="75">
        <v>9000000</v>
      </c>
      <c r="K134" s="76" t="s">
        <v>34</v>
      </c>
      <c r="L134" s="76" t="s">
        <v>23</v>
      </c>
      <c r="M134" s="103" t="str">
        <f>IF(AND('331-CT'!$E$7=TH!I134,OR(K134="331",L134="331")),"x","")</f>
        <v/>
      </c>
      <c r="N134" s="103" t="str">
        <f>IF(AND($C134&gt;='1111'!$N$10,$C134&lt;='1111'!$O$10,OR($K134=$N$7,$L134=$N$7)),"x","")</f>
        <v/>
      </c>
      <c r="O134" s="103" t="str">
        <f>IF(AND($K134=$N$7,$C134&lt;'1111'!$N$10),"x","")</f>
        <v/>
      </c>
      <c r="P134" s="103" t="str">
        <f>IF(AND($L134=$N$7,$C134&lt;'1111'!$N$10),"x","")</f>
        <v/>
      </c>
      <c r="Q134" s="103" t="str">
        <f>IF(AND($C134&gt;='1121'!$N$9,$C134&lt;='1121'!$O$9,OR($K134=$Q$7,$L134=$Q$7)),"x","")</f>
        <v/>
      </c>
      <c r="R134" s="103" t="str">
        <f>IF(AND($K134=$Q$7,$C134&lt;'1121'!$N$9),"x","")</f>
        <v>x</v>
      </c>
      <c r="S134" s="103" t="str">
        <f>IF(AND($L134=$Q$7,$C134&lt;'1121'!$N$9),"x","")</f>
        <v/>
      </c>
      <c r="T134" s="103" t="str">
        <f>IF(AND($C134&gt;='1331'!$I$9,$C134&lt;='1331'!$J$9,OR($K134=$T$7,$L134=$T$7)),"x","")</f>
        <v/>
      </c>
      <c r="U134" s="103" t="str">
        <f>IF(AND($K134=$T$7,$C134&lt;'1331'!$I$9),"x","")</f>
        <v/>
      </c>
      <c r="V134" s="103" t="str">
        <f>IF(AND($L134=$T$7,$C134&lt;'1331'!$I$9),"x","")</f>
        <v/>
      </c>
      <c r="W134" s="103" t="str">
        <f>IF(AND('3411-CT'!$E$9=TH!I134,OR(TH!K134=TH!$W$7,L134=TH!$W$7)),"x","")</f>
        <v/>
      </c>
      <c r="X134" s="103" t="str">
        <f>IF(OR(TH!K134=TH!$X$7,L134=TH!$X$7),"x","")</f>
        <v/>
      </c>
    </row>
    <row r="135" spans="1:24" s="88" customFormat="1">
      <c r="A135" s="178" t="str">
        <f>IF(E135&lt;&gt;"",IF(AND(B135='IN - TC'!$Q$4,OR(TH!K135="1111",TH!L135="1111")),TH!E135,""),"")</f>
        <v/>
      </c>
      <c r="B135" s="73">
        <f t="shared" si="10"/>
        <v>2014</v>
      </c>
      <c r="C135" s="73">
        <f t="shared" si="11"/>
        <v>9</v>
      </c>
      <c r="D135" s="74">
        <v>41905</v>
      </c>
      <c r="E135" s="74" t="s">
        <v>8</v>
      </c>
      <c r="F135" s="74">
        <v>41905</v>
      </c>
      <c r="G135" s="173" t="s">
        <v>77</v>
      </c>
      <c r="H135" s="185"/>
      <c r="I135" s="9" t="s">
        <v>193</v>
      </c>
      <c r="J135" s="75">
        <v>8625463</v>
      </c>
      <c r="K135" s="76" t="s">
        <v>157</v>
      </c>
      <c r="L135" s="76" t="s">
        <v>34</v>
      </c>
      <c r="M135" s="103" t="str">
        <f>IF(AND('331-CT'!$E$7=TH!I135,OR(K135="331",L135="331")),"x","")</f>
        <v/>
      </c>
      <c r="N135" s="103" t="str">
        <f>IF(AND($C135&gt;='1111'!$N$10,$C135&lt;='1111'!$O$10,OR($K135=$N$7,$L135=$N$7)),"x","")</f>
        <v/>
      </c>
      <c r="O135" s="103" t="str">
        <f>IF(AND($K135=$N$7,$C135&lt;'1111'!$N$10),"x","")</f>
        <v/>
      </c>
      <c r="P135" s="103" t="str">
        <f>IF(AND($L135=$N$7,$C135&lt;'1111'!$N$10),"x","")</f>
        <v/>
      </c>
      <c r="Q135" s="103" t="str">
        <f>IF(AND($C135&gt;='1121'!$N$9,$C135&lt;='1121'!$O$9,OR($K135=$Q$7,$L135=$Q$7)),"x","")</f>
        <v/>
      </c>
      <c r="R135" s="103" t="str">
        <f>IF(AND($K135=$Q$7,$C135&lt;'1121'!$N$9),"x","")</f>
        <v/>
      </c>
      <c r="S135" s="103" t="str">
        <f>IF(AND($L135=$Q$7,$C135&lt;'1121'!$N$9),"x","")</f>
        <v>x</v>
      </c>
      <c r="T135" s="103" t="str">
        <f>IF(AND($C135&gt;='1331'!$I$9,$C135&lt;='1331'!$J$9,OR($K135=$T$7,$L135=$T$7)),"x","")</f>
        <v/>
      </c>
      <c r="U135" s="103" t="str">
        <f>IF(AND($K135=$T$7,$C135&lt;'1331'!$I$9),"x","")</f>
        <v/>
      </c>
      <c r="V135" s="103" t="str">
        <f>IF(AND($L135=$T$7,$C135&lt;'1331'!$I$9),"x","")</f>
        <v/>
      </c>
      <c r="W135" s="103" t="str">
        <f>IF(AND('3411-CT'!$E$9=TH!I135,OR(TH!K135=TH!$W$7,L135=TH!$W$7)),"x","")</f>
        <v/>
      </c>
      <c r="X135" s="103" t="str">
        <f>IF(OR(TH!K135=TH!$X$7,L135=TH!$X$7),"x","")</f>
        <v/>
      </c>
    </row>
    <row r="136" spans="1:24" s="88" customFormat="1">
      <c r="A136" s="178" t="str">
        <f>IF(E136&lt;&gt;"",IF(AND(B136='IN - TC'!$Q$4,OR(TH!K136="1111",TH!L136="1111")),TH!E136,""),"")</f>
        <v/>
      </c>
      <c r="B136" s="73">
        <f t="shared" si="10"/>
        <v>2014</v>
      </c>
      <c r="C136" s="73">
        <f t="shared" si="11"/>
        <v>9</v>
      </c>
      <c r="D136" s="74">
        <v>41905</v>
      </c>
      <c r="E136" s="74" t="s">
        <v>8</v>
      </c>
      <c r="F136" s="74">
        <v>41905</v>
      </c>
      <c r="G136" s="77" t="s">
        <v>76</v>
      </c>
      <c r="H136" s="180"/>
      <c r="I136" s="91" t="s">
        <v>75</v>
      </c>
      <c r="J136" s="75">
        <v>752610000</v>
      </c>
      <c r="K136" s="76" t="s">
        <v>9</v>
      </c>
      <c r="L136" s="76" t="s">
        <v>34</v>
      </c>
      <c r="M136" s="103" t="str">
        <f>IF(AND('331-CT'!$E$7=TH!I136,OR(K136="331",L136="331")),"x","")</f>
        <v/>
      </c>
      <c r="N136" s="103" t="str">
        <f>IF(AND($C136&gt;='1111'!$N$10,$C136&lt;='1111'!$O$10,OR($K136=$N$7,$L136=$N$7)),"x","")</f>
        <v/>
      </c>
      <c r="O136" s="103" t="str">
        <f>IF(AND($K136=$N$7,$C136&lt;'1111'!$N$10),"x","")</f>
        <v/>
      </c>
      <c r="P136" s="103" t="str">
        <f>IF(AND($L136=$N$7,$C136&lt;'1111'!$N$10),"x","")</f>
        <v/>
      </c>
      <c r="Q136" s="103" t="str">
        <f>IF(AND($C136&gt;='1121'!$N$9,$C136&lt;='1121'!$O$9,OR($K136=$Q$7,$L136=$Q$7)),"x","")</f>
        <v/>
      </c>
      <c r="R136" s="103" t="str">
        <f>IF(AND($K136=$Q$7,$C136&lt;'1121'!$N$9),"x","")</f>
        <v/>
      </c>
      <c r="S136" s="103" t="str">
        <f>IF(AND($L136=$Q$7,$C136&lt;'1121'!$N$9),"x","")</f>
        <v>x</v>
      </c>
      <c r="T136" s="103" t="str">
        <f>IF(AND($C136&gt;='1331'!$I$9,$C136&lt;='1331'!$J$9,OR($K136=$T$7,$L136=$T$7)),"x","")</f>
        <v/>
      </c>
      <c r="U136" s="103" t="str">
        <f>IF(AND($K136=$T$7,$C136&lt;'1331'!$I$9),"x","")</f>
        <v/>
      </c>
      <c r="V136" s="103" t="str">
        <f>IF(AND($L136=$T$7,$C136&lt;'1331'!$I$9),"x","")</f>
        <v/>
      </c>
      <c r="W136" s="103" t="str">
        <f>IF(AND('3411-CT'!$E$9=TH!I136,OR(TH!K136=TH!$W$7,L136=TH!$W$7)),"x","")</f>
        <v/>
      </c>
      <c r="X136" s="103" t="str">
        <f>IF(OR(TH!K136=TH!$X$7,L136=TH!$X$7),"x","")</f>
        <v/>
      </c>
    </row>
    <row r="137" spans="1:24" s="88" customFormat="1">
      <c r="A137" s="178" t="str">
        <f>IF(E137&lt;&gt;"",IF(AND(B137='IN - TC'!$Q$4,OR(TH!K137="1111",TH!L137="1111")),TH!E137,""),"")</f>
        <v/>
      </c>
      <c r="B137" s="73">
        <f t="shared" si="10"/>
        <v>2014</v>
      </c>
      <c r="C137" s="73">
        <f t="shared" si="11"/>
        <v>9</v>
      </c>
      <c r="D137" s="74">
        <v>41905</v>
      </c>
      <c r="E137" s="74" t="s">
        <v>8</v>
      </c>
      <c r="F137" s="74">
        <v>41905</v>
      </c>
      <c r="G137" s="77" t="s">
        <v>21</v>
      </c>
      <c r="H137" s="180"/>
      <c r="I137" s="91"/>
      <c r="J137" s="75">
        <v>225783</v>
      </c>
      <c r="K137" s="76" t="s">
        <v>159</v>
      </c>
      <c r="L137" s="76" t="s">
        <v>34</v>
      </c>
      <c r="M137" s="103" t="str">
        <f>IF(AND('331-CT'!$E$7=TH!I137,OR(K137="331",L137="331")),"x","")</f>
        <v/>
      </c>
      <c r="N137" s="103" t="str">
        <f>IF(AND($C137&gt;='1111'!$N$10,$C137&lt;='1111'!$O$10,OR($K137=$N$7,$L137=$N$7)),"x","")</f>
        <v/>
      </c>
      <c r="O137" s="103" t="str">
        <f>IF(AND($K137=$N$7,$C137&lt;'1111'!$N$10),"x","")</f>
        <v/>
      </c>
      <c r="P137" s="103" t="str">
        <f>IF(AND($L137=$N$7,$C137&lt;'1111'!$N$10),"x","")</f>
        <v/>
      </c>
      <c r="Q137" s="103" t="str">
        <f>IF(AND($C137&gt;='1121'!$N$9,$C137&lt;='1121'!$O$9,OR($K137=$Q$7,$L137=$Q$7)),"x","")</f>
        <v/>
      </c>
      <c r="R137" s="103" t="str">
        <f>IF(AND($K137=$Q$7,$C137&lt;'1121'!$N$9),"x","")</f>
        <v/>
      </c>
      <c r="S137" s="103" t="str">
        <f>IF(AND($L137=$Q$7,$C137&lt;'1121'!$N$9),"x","")</f>
        <v>x</v>
      </c>
      <c r="T137" s="103" t="str">
        <f>IF(AND($C137&gt;='1331'!$I$9,$C137&lt;='1331'!$J$9,OR($K137=$T$7,$L137=$T$7)),"x","")</f>
        <v/>
      </c>
      <c r="U137" s="103" t="str">
        <f>IF(AND($K137=$T$7,$C137&lt;'1331'!$I$9),"x","")</f>
        <v/>
      </c>
      <c r="V137" s="103" t="str">
        <f>IF(AND($L137=$T$7,$C137&lt;'1331'!$I$9),"x","")</f>
        <v/>
      </c>
      <c r="W137" s="103" t="str">
        <f>IF(AND('3411-CT'!$E$9=TH!I137,OR(TH!K137=TH!$W$7,L137=TH!$W$7)),"x","")</f>
        <v/>
      </c>
      <c r="X137" s="103" t="str">
        <f>IF(OR(TH!K137=TH!$X$7,L137=TH!$X$7),"x","")</f>
        <v/>
      </c>
    </row>
    <row r="138" spans="1:24" s="88" customFormat="1">
      <c r="A138" s="178" t="str">
        <f>IF(E138&lt;&gt;"",IF(AND(B138='IN - TC'!$Q$4,OR(TH!K138="1111",TH!L138="1111")),TH!E138,""),"")</f>
        <v/>
      </c>
      <c r="B138" s="73">
        <f t="shared" si="10"/>
        <v>2014</v>
      </c>
      <c r="C138" s="73">
        <f t="shared" si="11"/>
        <v>9</v>
      </c>
      <c r="D138" s="74">
        <v>41905</v>
      </c>
      <c r="E138" s="74" t="s">
        <v>8</v>
      </c>
      <c r="F138" s="74">
        <v>41905</v>
      </c>
      <c r="G138" s="77" t="s">
        <v>22</v>
      </c>
      <c r="H138" s="180"/>
      <c r="I138" s="9"/>
      <c r="J138" s="75">
        <v>22578</v>
      </c>
      <c r="K138" s="76" t="s">
        <v>10</v>
      </c>
      <c r="L138" s="76" t="s">
        <v>34</v>
      </c>
      <c r="M138" s="103" t="str">
        <f>IF(AND('331-CT'!$E$7=TH!I138,OR(K138="331",L138="331")),"x","")</f>
        <v/>
      </c>
      <c r="N138" s="103" t="str">
        <f>IF(AND($C138&gt;='1111'!$N$10,$C138&lt;='1111'!$O$10,OR($K138=$N$7,$L138=$N$7)),"x","")</f>
        <v/>
      </c>
      <c r="O138" s="103" t="str">
        <f>IF(AND($K138=$N$7,$C138&lt;'1111'!$N$10),"x","")</f>
        <v/>
      </c>
      <c r="P138" s="103" t="str">
        <f>IF(AND($L138=$N$7,$C138&lt;'1111'!$N$10),"x","")</f>
        <v/>
      </c>
      <c r="Q138" s="103" t="str">
        <f>IF(AND($C138&gt;='1121'!$N$9,$C138&lt;='1121'!$O$9,OR($K138=$Q$7,$L138=$Q$7)),"x","")</f>
        <v/>
      </c>
      <c r="R138" s="103" t="str">
        <f>IF(AND($K138=$Q$7,$C138&lt;'1121'!$N$9),"x","")</f>
        <v/>
      </c>
      <c r="S138" s="103" t="str">
        <f>IF(AND($L138=$Q$7,$C138&lt;'1121'!$N$9),"x","")</f>
        <v>x</v>
      </c>
      <c r="T138" s="103" t="str">
        <f>IF(AND($C138&gt;='1331'!$I$9,$C138&lt;='1331'!$J$9,OR($K138=$T$7,$L138=$T$7)),"x","")</f>
        <v/>
      </c>
      <c r="U138" s="103" t="str">
        <f>IF(AND($K138=$T$7,$C138&lt;'1331'!$I$9),"x","")</f>
        <v/>
      </c>
      <c r="V138" s="103" t="str">
        <f>IF(AND($L138=$T$7,$C138&lt;'1331'!$I$9),"x","")</f>
        <v/>
      </c>
      <c r="W138" s="103" t="str">
        <f>IF(AND('3411-CT'!$E$9=TH!I138,OR(TH!K138=TH!$W$7,L138=TH!$W$7)),"x","")</f>
        <v/>
      </c>
      <c r="X138" s="103" t="str">
        <f>IF(OR(TH!K138=TH!$X$7,L138=TH!$X$7),"x","")</f>
        <v/>
      </c>
    </row>
    <row r="139" spans="1:24" s="88" customFormat="1">
      <c r="A139" s="178" t="str">
        <f>IF(E139&lt;&gt;"",IF(AND(B139='IN - TC'!$Q$4,OR(TH!K139="1111",TH!L139="1111")),TH!E139,""),"")</f>
        <v/>
      </c>
      <c r="B139" s="73">
        <f t="shared" si="10"/>
        <v>2014</v>
      </c>
      <c r="C139" s="73">
        <f t="shared" si="11"/>
        <v>9</v>
      </c>
      <c r="D139" s="74">
        <v>41905</v>
      </c>
      <c r="E139" s="74" t="s">
        <v>8</v>
      </c>
      <c r="F139" s="74">
        <v>41905</v>
      </c>
      <c r="G139" s="77" t="s">
        <v>372</v>
      </c>
      <c r="H139" s="180"/>
      <c r="I139" s="91" t="s">
        <v>55</v>
      </c>
      <c r="J139" s="75">
        <v>800000000</v>
      </c>
      <c r="K139" s="76" t="s">
        <v>9</v>
      </c>
      <c r="L139" s="76" t="s">
        <v>34</v>
      </c>
      <c r="M139" s="103" t="str">
        <f>IF(AND('331-CT'!$E$7=TH!I139,OR(K139="331",L139="331")),"x","")</f>
        <v/>
      </c>
      <c r="N139" s="103" t="str">
        <f>IF(AND($C139&gt;='1111'!$N$10,$C139&lt;='1111'!$O$10,OR($K139=$N$7,$L139=$N$7)),"x","")</f>
        <v/>
      </c>
      <c r="O139" s="103" t="str">
        <f>IF(AND($K139=$N$7,$C139&lt;'1111'!$N$10),"x","")</f>
        <v/>
      </c>
      <c r="P139" s="103" t="str">
        <f>IF(AND($L139=$N$7,$C139&lt;'1111'!$N$10),"x","")</f>
        <v/>
      </c>
      <c r="Q139" s="103" t="str">
        <f>IF(AND($C139&gt;='1121'!$N$9,$C139&lt;='1121'!$O$9,OR($K139=$Q$7,$L139=$Q$7)),"x","")</f>
        <v/>
      </c>
      <c r="R139" s="103" t="str">
        <f>IF(AND($K139=$Q$7,$C139&lt;'1121'!$N$9),"x","")</f>
        <v/>
      </c>
      <c r="S139" s="103" t="str">
        <f>IF(AND($L139=$Q$7,$C139&lt;'1121'!$N$9),"x","")</f>
        <v>x</v>
      </c>
      <c r="T139" s="103" t="str">
        <f>IF(AND($C139&gt;='1331'!$I$9,$C139&lt;='1331'!$J$9,OR($K139=$T$7,$L139=$T$7)),"x","")</f>
        <v/>
      </c>
      <c r="U139" s="103" t="str">
        <f>IF(AND($K139=$T$7,$C139&lt;'1331'!$I$9),"x","")</f>
        <v/>
      </c>
      <c r="V139" s="103" t="str">
        <f>IF(AND($L139=$T$7,$C139&lt;'1331'!$I$9),"x","")</f>
        <v/>
      </c>
      <c r="W139" s="103" t="str">
        <f>IF(AND('3411-CT'!$E$9=TH!I139,OR(TH!K139=TH!$W$7,L139=TH!$W$7)),"x","")</f>
        <v/>
      </c>
      <c r="X139" s="103" t="str">
        <f>IF(OR(TH!K139=TH!$X$7,L139=TH!$X$7),"x","")</f>
        <v/>
      </c>
    </row>
    <row r="140" spans="1:24" s="88" customFormat="1">
      <c r="A140" s="178" t="str">
        <f>IF(E140&lt;&gt;"",IF(AND(B140='IN - TC'!$Q$4,OR(TH!K140="1111",TH!L140="1111")),TH!E140,""),"")</f>
        <v/>
      </c>
      <c r="B140" s="73">
        <f t="shared" si="10"/>
        <v>2014</v>
      </c>
      <c r="C140" s="73">
        <f t="shared" si="11"/>
        <v>9</v>
      </c>
      <c r="D140" s="74">
        <v>41905</v>
      </c>
      <c r="E140" s="74" t="s">
        <v>8</v>
      </c>
      <c r="F140" s="74">
        <v>41905</v>
      </c>
      <c r="G140" s="77" t="s">
        <v>21</v>
      </c>
      <c r="H140" s="180"/>
      <c r="I140" s="91"/>
      <c r="J140" s="75">
        <v>400000</v>
      </c>
      <c r="K140" s="76" t="s">
        <v>159</v>
      </c>
      <c r="L140" s="76" t="s">
        <v>34</v>
      </c>
      <c r="M140" s="103" t="str">
        <f>IF(AND('331-CT'!$E$7=TH!I140,OR(K140="331",L140="331")),"x","")</f>
        <v/>
      </c>
      <c r="N140" s="103" t="str">
        <f>IF(AND($C140&gt;='1111'!$N$10,$C140&lt;='1111'!$O$10,OR($K140=$N$7,$L140=$N$7)),"x","")</f>
        <v/>
      </c>
      <c r="O140" s="103" t="str">
        <f>IF(AND($K140=$N$7,$C140&lt;'1111'!$N$10),"x","")</f>
        <v/>
      </c>
      <c r="P140" s="103" t="str">
        <f>IF(AND($L140=$N$7,$C140&lt;'1111'!$N$10),"x","")</f>
        <v/>
      </c>
      <c r="Q140" s="103" t="str">
        <f>IF(AND($C140&gt;='1121'!$N$9,$C140&lt;='1121'!$O$9,OR($K140=$Q$7,$L140=$Q$7)),"x","")</f>
        <v/>
      </c>
      <c r="R140" s="103" t="str">
        <f>IF(AND($K140=$Q$7,$C140&lt;'1121'!$N$9),"x","")</f>
        <v/>
      </c>
      <c r="S140" s="103" t="str">
        <f>IF(AND($L140=$Q$7,$C140&lt;'1121'!$N$9),"x","")</f>
        <v>x</v>
      </c>
      <c r="T140" s="103" t="str">
        <f>IF(AND($C140&gt;='1331'!$I$9,$C140&lt;='1331'!$J$9,OR($K140=$T$7,$L140=$T$7)),"x","")</f>
        <v/>
      </c>
      <c r="U140" s="103" t="str">
        <f>IF(AND($K140=$T$7,$C140&lt;'1331'!$I$9),"x","")</f>
        <v/>
      </c>
      <c r="V140" s="103" t="str">
        <f>IF(AND($L140=$T$7,$C140&lt;'1331'!$I$9),"x","")</f>
        <v/>
      </c>
      <c r="W140" s="103" t="str">
        <f>IF(AND('3411-CT'!$E$9=TH!I140,OR(TH!K140=TH!$W$7,L140=TH!$W$7)),"x","")</f>
        <v/>
      </c>
      <c r="X140" s="103" t="str">
        <f>IF(OR(TH!K140=TH!$X$7,L140=TH!$X$7),"x","")</f>
        <v/>
      </c>
    </row>
    <row r="141" spans="1:24" s="88" customFormat="1">
      <c r="A141" s="178" t="str">
        <f>IF(E141&lt;&gt;"",IF(AND(B141='IN - TC'!$Q$4,OR(TH!K141="1111",TH!L141="1111")),TH!E141,""),"")</f>
        <v/>
      </c>
      <c r="B141" s="98">
        <f t="shared" si="10"/>
        <v>2014</v>
      </c>
      <c r="C141" s="98">
        <f t="shared" si="11"/>
        <v>9</v>
      </c>
      <c r="D141" s="99">
        <v>41905</v>
      </c>
      <c r="E141" s="99" t="s">
        <v>8</v>
      </c>
      <c r="F141" s="99">
        <v>41905</v>
      </c>
      <c r="G141" s="100" t="s">
        <v>22</v>
      </c>
      <c r="H141" s="183"/>
      <c r="I141" s="101"/>
      <c r="J141" s="102">
        <v>40000</v>
      </c>
      <c r="K141" s="103" t="s">
        <v>10</v>
      </c>
      <c r="L141" s="103" t="s">
        <v>34</v>
      </c>
      <c r="M141" s="103" t="str">
        <f>IF(AND('331-CT'!$E$7=TH!I141,OR(K141="331",L141="331")),"x","")</f>
        <v/>
      </c>
      <c r="N141" s="103" t="str">
        <f>IF(AND($C141&gt;='1111'!$N$10,$C141&lt;='1111'!$O$10,OR($K141=$N$7,$L141=$N$7)),"x","")</f>
        <v/>
      </c>
      <c r="O141" s="103" t="str">
        <f>IF(AND($K141=$N$7,$C141&lt;'1111'!$N$10),"x","")</f>
        <v/>
      </c>
      <c r="P141" s="103" t="str">
        <f>IF(AND($L141=$N$7,$C141&lt;'1111'!$N$10),"x","")</f>
        <v/>
      </c>
      <c r="Q141" s="103" t="str">
        <f>IF(AND($C141&gt;='1121'!$N$9,$C141&lt;='1121'!$O$9,OR($K141=$Q$7,$L141=$Q$7)),"x","")</f>
        <v/>
      </c>
      <c r="R141" s="103" t="str">
        <f>IF(AND($K141=$Q$7,$C141&lt;'1121'!$N$9),"x","")</f>
        <v/>
      </c>
      <c r="S141" s="103" t="str">
        <f>IF(AND($L141=$Q$7,$C141&lt;'1121'!$N$9),"x","")</f>
        <v>x</v>
      </c>
      <c r="T141" s="103" t="str">
        <f>IF(AND($C141&gt;='1331'!$I$9,$C141&lt;='1331'!$J$9,OR($K141=$T$7,$L141=$T$7)),"x","")</f>
        <v/>
      </c>
      <c r="U141" s="103" t="str">
        <f>IF(AND($K141=$T$7,$C141&lt;'1331'!$I$9),"x","")</f>
        <v/>
      </c>
      <c r="V141" s="103" t="str">
        <f>IF(AND($L141=$T$7,$C141&lt;'1331'!$I$9),"x","")</f>
        <v/>
      </c>
      <c r="W141" s="103" t="str">
        <f>IF(AND('3411-CT'!$E$9=TH!I141,OR(TH!K141=TH!$W$7,L141=TH!$W$7)),"x","")</f>
        <v/>
      </c>
      <c r="X141" s="103" t="str">
        <f>IF(OR(TH!K141=TH!$X$7,L141=TH!$X$7),"x","")</f>
        <v/>
      </c>
    </row>
    <row r="142" spans="1:24" s="88" customFormat="1">
      <c r="A142" s="178" t="str">
        <f>IF(E142&lt;&gt;"",IF(AND(B142='IN - TC'!$Q$4,OR(TH!K142="1111",TH!L142="1111")),TH!E142,""),"")</f>
        <v/>
      </c>
      <c r="B142" s="98">
        <f t="shared" si="10"/>
        <v>2014</v>
      </c>
      <c r="C142" s="98">
        <f t="shared" si="11"/>
        <v>9</v>
      </c>
      <c r="D142" s="99">
        <v>41905</v>
      </c>
      <c r="E142" s="99" t="s">
        <v>11</v>
      </c>
      <c r="F142" s="99">
        <v>41905</v>
      </c>
      <c r="G142" s="100" t="s">
        <v>373</v>
      </c>
      <c r="H142" s="183"/>
      <c r="I142" s="101" t="s">
        <v>194</v>
      </c>
      <c r="J142" s="102">
        <v>2000000000</v>
      </c>
      <c r="K142" s="103" t="s">
        <v>34</v>
      </c>
      <c r="L142" s="103" t="s">
        <v>144</v>
      </c>
      <c r="M142" s="103" t="str">
        <f>IF(AND('331-CT'!$E$7=TH!I142,OR(K142="331",L142="331")),"x","")</f>
        <v/>
      </c>
      <c r="N142" s="103" t="str">
        <f>IF(AND($C142&gt;='1111'!$N$10,$C142&lt;='1111'!$O$10,OR($K142=$N$7,$L142=$N$7)),"x","")</f>
        <v/>
      </c>
      <c r="O142" s="103" t="str">
        <f>IF(AND($K142=$N$7,$C142&lt;'1111'!$N$10),"x","")</f>
        <v/>
      </c>
      <c r="P142" s="103" t="str">
        <f>IF(AND($L142=$N$7,$C142&lt;'1111'!$N$10),"x","")</f>
        <v/>
      </c>
      <c r="Q142" s="103" t="str">
        <f>IF(AND($C142&gt;='1121'!$N$9,$C142&lt;='1121'!$O$9,OR($K142=$Q$7,$L142=$Q$7)),"x","")</f>
        <v/>
      </c>
      <c r="R142" s="103" t="str">
        <f>IF(AND($K142=$Q$7,$C142&lt;'1121'!$N$9),"x","")</f>
        <v>x</v>
      </c>
      <c r="S142" s="103" t="str">
        <f>IF(AND($L142=$Q$7,$C142&lt;'1121'!$N$9),"x","")</f>
        <v/>
      </c>
      <c r="T142" s="103" t="str">
        <f>IF(AND($C142&gt;='1331'!$I$9,$C142&lt;='1331'!$J$9,OR($K142=$T$7,$L142=$T$7)),"x","")</f>
        <v/>
      </c>
      <c r="U142" s="103" t="str">
        <f>IF(AND($K142=$T$7,$C142&lt;'1331'!$I$9),"x","")</f>
        <v/>
      </c>
      <c r="V142" s="103" t="str">
        <f>IF(AND($L142=$T$7,$C142&lt;'1331'!$I$9),"x","")</f>
        <v/>
      </c>
      <c r="W142" s="103" t="str">
        <f>IF(AND('3411-CT'!$E$9=TH!I142,OR(TH!K142=TH!$W$7,L142=TH!$W$7)),"x","")</f>
        <v/>
      </c>
      <c r="X142" s="103" t="str">
        <f>IF(OR(TH!K142=TH!$X$7,L142=TH!$X$7),"x","")</f>
        <v/>
      </c>
    </row>
    <row r="143" spans="1:24" s="88" customFormat="1">
      <c r="A143" s="178" t="str">
        <f>IF(E143&lt;&gt;"",IF(AND(B143='IN - TC'!$Q$4,OR(TH!K143="1111",TH!L143="1111")),TH!E143,""),"")</f>
        <v/>
      </c>
      <c r="B143" s="73">
        <f t="shared" si="10"/>
        <v>2014</v>
      </c>
      <c r="C143" s="73">
        <f t="shared" si="11"/>
        <v>9</v>
      </c>
      <c r="D143" s="74">
        <v>41906</v>
      </c>
      <c r="E143" s="74" t="s">
        <v>8</v>
      </c>
      <c r="F143" s="74">
        <v>41906</v>
      </c>
      <c r="G143" s="77" t="s">
        <v>374</v>
      </c>
      <c r="H143" s="180"/>
      <c r="I143" s="91"/>
      <c r="J143" s="75">
        <v>20000</v>
      </c>
      <c r="K143" s="76" t="s">
        <v>159</v>
      </c>
      <c r="L143" s="76" t="s">
        <v>34</v>
      </c>
      <c r="M143" s="103" t="str">
        <f>IF(AND('331-CT'!$E$7=TH!I143,OR(K143="331",L143="331")),"x","")</f>
        <v/>
      </c>
      <c r="N143" s="103" t="str">
        <f>IF(AND($C143&gt;='1111'!$N$10,$C143&lt;='1111'!$O$10,OR($K143=$N$7,$L143=$N$7)),"x","")</f>
        <v/>
      </c>
      <c r="O143" s="103" t="str">
        <f>IF(AND($K143=$N$7,$C143&lt;'1111'!$N$10),"x","")</f>
        <v/>
      </c>
      <c r="P143" s="103" t="str">
        <f>IF(AND($L143=$N$7,$C143&lt;'1111'!$N$10),"x","")</f>
        <v/>
      </c>
      <c r="Q143" s="103" t="str">
        <f>IF(AND($C143&gt;='1121'!$N$9,$C143&lt;='1121'!$O$9,OR($K143=$Q$7,$L143=$Q$7)),"x","")</f>
        <v/>
      </c>
      <c r="R143" s="103" t="str">
        <f>IF(AND($K143=$Q$7,$C143&lt;'1121'!$N$9),"x","")</f>
        <v/>
      </c>
      <c r="S143" s="103" t="str">
        <f>IF(AND($L143=$Q$7,$C143&lt;'1121'!$N$9),"x","")</f>
        <v>x</v>
      </c>
      <c r="T143" s="103" t="str">
        <f>IF(AND($C143&gt;='1331'!$I$9,$C143&lt;='1331'!$J$9,OR($K143=$T$7,$L143=$T$7)),"x","")</f>
        <v/>
      </c>
      <c r="U143" s="103" t="str">
        <f>IF(AND($K143=$T$7,$C143&lt;'1331'!$I$9),"x","")</f>
        <v/>
      </c>
      <c r="V143" s="103" t="str">
        <f>IF(AND($L143=$T$7,$C143&lt;'1331'!$I$9),"x","")</f>
        <v/>
      </c>
      <c r="W143" s="103" t="str">
        <f>IF(AND('3411-CT'!$E$9=TH!I143,OR(TH!K143=TH!$W$7,L143=TH!$W$7)),"x","")</f>
        <v/>
      </c>
      <c r="X143" s="103" t="str">
        <f>IF(OR(TH!K143=TH!$X$7,L143=TH!$X$7),"x","")</f>
        <v/>
      </c>
    </row>
    <row r="144" spans="1:24" s="88" customFormat="1">
      <c r="A144" s="178" t="str">
        <f>IF(E144&lt;&gt;"",IF(AND(B144='IN - TC'!$Q$4,OR(TH!K144="1111",TH!L144="1111")),TH!E144,""),"")</f>
        <v/>
      </c>
      <c r="B144" s="73">
        <f t="shared" si="10"/>
        <v>2014</v>
      </c>
      <c r="C144" s="73">
        <f t="shared" si="11"/>
        <v>9</v>
      </c>
      <c r="D144" s="74">
        <v>41906</v>
      </c>
      <c r="E144" s="74" t="s">
        <v>8</v>
      </c>
      <c r="F144" s="74">
        <v>41906</v>
      </c>
      <c r="G144" s="77" t="s">
        <v>375</v>
      </c>
      <c r="H144" s="182"/>
      <c r="I144" s="91"/>
      <c r="J144" s="75">
        <v>2000</v>
      </c>
      <c r="K144" s="76" t="s">
        <v>10</v>
      </c>
      <c r="L144" s="76" t="s">
        <v>34</v>
      </c>
      <c r="M144" s="103" t="str">
        <f>IF(AND('331-CT'!$E$7=TH!I144,OR(K144="331",L144="331")),"x","")</f>
        <v/>
      </c>
      <c r="N144" s="103" t="str">
        <f>IF(AND($C144&gt;='1111'!$N$10,$C144&lt;='1111'!$O$10,OR($K144=$N$7,$L144=$N$7)),"x","")</f>
        <v/>
      </c>
      <c r="O144" s="103" t="str">
        <f>IF(AND($K144=$N$7,$C144&lt;'1111'!$N$10),"x","")</f>
        <v/>
      </c>
      <c r="P144" s="103" t="str">
        <f>IF(AND($L144=$N$7,$C144&lt;'1111'!$N$10),"x","")</f>
        <v/>
      </c>
      <c r="Q144" s="103" t="str">
        <f>IF(AND($C144&gt;='1121'!$N$9,$C144&lt;='1121'!$O$9,OR($K144=$Q$7,$L144=$Q$7)),"x","")</f>
        <v/>
      </c>
      <c r="R144" s="103" t="str">
        <f>IF(AND($K144=$Q$7,$C144&lt;'1121'!$N$9),"x","")</f>
        <v/>
      </c>
      <c r="S144" s="103" t="str">
        <f>IF(AND($L144=$Q$7,$C144&lt;'1121'!$N$9),"x","")</f>
        <v>x</v>
      </c>
      <c r="T144" s="103" t="str">
        <f>IF(AND($C144&gt;='1331'!$I$9,$C144&lt;='1331'!$J$9,OR($K144=$T$7,$L144=$T$7)),"x","")</f>
        <v/>
      </c>
      <c r="U144" s="103" t="str">
        <f>IF(AND($K144=$T$7,$C144&lt;'1331'!$I$9),"x","")</f>
        <v/>
      </c>
      <c r="V144" s="103" t="str">
        <f>IF(AND($L144=$T$7,$C144&lt;'1331'!$I$9),"x","")</f>
        <v/>
      </c>
      <c r="W144" s="103" t="str">
        <f>IF(AND('3411-CT'!$E$9=TH!I144,OR(TH!K144=TH!$W$7,L144=TH!$W$7)),"x","")</f>
        <v/>
      </c>
      <c r="X144" s="103" t="str">
        <f>IF(OR(TH!K144=TH!$X$7,L144=TH!$X$7),"x","")</f>
        <v/>
      </c>
    </row>
    <row r="145" spans="1:24" s="88" customFormat="1">
      <c r="A145" s="178" t="str">
        <f>IF(E145&lt;&gt;"",IF(AND(B145='IN - TC'!$Q$4,OR(TH!K145="1111",TH!L145="1111")),TH!E145,""),"")</f>
        <v/>
      </c>
      <c r="B145" s="73">
        <f t="shared" ref="B145:B208" si="14">IF(D145&lt;&gt;"",YEAR(D145),"")</f>
        <v>2014</v>
      </c>
      <c r="C145" s="73">
        <f t="shared" ref="C145:C208" si="15">IF(D145&lt;&gt;"",MONTH(D145),"")</f>
        <v>9</v>
      </c>
      <c r="D145" s="74">
        <v>41907</v>
      </c>
      <c r="E145" s="74" t="s">
        <v>11</v>
      </c>
      <c r="F145" s="74">
        <v>41907</v>
      </c>
      <c r="G145" s="77" t="s">
        <v>66</v>
      </c>
      <c r="H145" s="180"/>
      <c r="I145" s="91"/>
      <c r="J145" s="75">
        <v>199881</v>
      </c>
      <c r="K145" s="76" t="s">
        <v>34</v>
      </c>
      <c r="L145" s="76" t="s">
        <v>67</v>
      </c>
      <c r="M145" s="103" t="str">
        <f>IF(AND('331-CT'!$E$7=TH!I145,OR(K145="331",L145="331")),"x","")</f>
        <v/>
      </c>
      <c r="N145" s="103" t="str">
        <f>IF(AND($C145&gt;='1111'!$N$10,$C145&lt;='1111'!$O$10,OR($K145=$N$7,$L145=$N$7)),"x","")</f>
        <v/>
      </c>
      <c r="O145" s="103" t="str">
        <f>IF(AND($K145=$N$7,$C145&lt;'1111'!$N$10),"x","")</f>
        <v/>
      </c>
      <c r="P145" s="103" t="str">
        <f>IF(AND($L145=$N$7,$C145&lt;'1111'!$N$10),"x","")</f>
        <v/>
      </c>
      <c r="Q145" s="103" t="str">
        <f>IF(AND($C145&gt;='1121'!$N$9,$C145&lt;='1121'!$O$9,OR($K145=$Q$7,$L145=$Q$7)),"x","")</f>
        <v/>
      </c>
      <c r="R145" s="103" t="str">
        <f>IF(AND($K145=$Q$7,$C145&lt;'1121'!$N$9),"x","")</f>
        <v>x</v>
      </c>
      <c r="S145" s="103" t="str">
        <f>IF(AND($L145=$Q$7,$C145&lt;'1121'!$N$9),"x","")</f>
        <v/>
      </c>
      <c r="T145" s="103" t="str">
        <f>IF(AND($C145&gt;='1331'!$I$9,$C145&lt;='1331'!$J$9,OR($K145=$T$7,$L145=$T$7)),"x","")</f>
        <v/>
      </c>
      <c r="U145" s="103" t="str">
        <f>IF(AND($K145=$T$7,$C145&lt;'1331'!$I$9),"x","")</f>
        <v/>
      </c>
      <c r="V145" s="103" t="str">
        <f>IF(AND($L145=$T$7,$C145&lt;'1331'!$I$9),"x","")</f>
        <v/>
      </c>
      <c r="W145" s="103" t="str">
        <f>IF(AND('3411-CT'!$E$9=TH!I145,OR(TH!K145=TH!$W$7,L145=TH!$W$7)),"x","")</f>
        <v/>
      </c>
      <c r="X145" s="103" t="str">
        <f>IF(OR(TH!K145=TH!$X$7,L145=TH!$X$7),"x","")</f>
        <v/>
      </c>
    </row>
    <row r="146" spans="1:24" s="88" customFormat="1">
      <c r="A146" s="178" t="str">
        <f>IF(E146&lt;&gt;"",IF(AND(B146='IN - TC'!$Q$4,OR(TH!K146="1111",TH!L146="1111")),TH!E146,""),"")</f>
        <v/>
      </c>
      <c r="B146" s="73">
        <f t="shared" si="14"/>
        <v>2014</v>
      </c>
      <c r="C146" s="73">
        <f t="shared" si="15"/>
        <v>9</v>
      </c>
      <c r="D146" s="74">
        <v>41907</v>
      </c>
      <c r="E146" s="74" t="s">
        <v>8</v>
      </c>
      <c r="F146" s="74">
        <v>41907</v>
      </c>
      <c r="G146" s="77" t="s">
        <v>374</v>
      </c>
      <c r="H146" s="180"/>
      <c r="I146" s="91"/>
      <c r="J146" s="75">
        <v>20000</v>
      </c>
      <c r="K146" s="76" t="s">
        <v>159</v>
      </c>
      <c r="L146" s="76" t="s">
        <v>34</v>
      </c>
      <c r="M146" s="103" t="str">
        <f>IF(AND('331-CT'!$E$7=TH!I146,OR(K146="331",L146="331")),"x","")</f>
        <v/>
      </c>
      <c r="N146" s="103" t="str">
        <f>IF(AND($C146&gt;='1111'!$N$10,$C146&lt;='1111'!$O$10,OR($K146=$N$7,$L146=$N$7)),"x","")</f>
        <v/>
      </c>
      <c r="O146" s="103" t="str">
        <f>IF(AND($K146=$N$7,$C146&lt;'1111'!$N$10),"x","")</f>
        <v/>
      </c>
      <c r="P146" s="103" t="str">
        <f>IF(AND($L146=$N$7,$C146&lt;'1111'!$N$10),"x","")</f>
        <v/>
      </c>
      <c r="Q146" s="103" t="str">
        <f>IF(AND($C146&gt;='1121'!$N$9,$C146&lt;='1121'!$O$9,OR($K146=$Q$7,$L146=$Q$7)),"x","")</f>
        <v/>
      </c>
      <c r="R146" s="103" t="str">
        <f>IF(AND($K146=$Q$7,$C146&lt;'1121'!$N$9),"x","")</f>
        <v/>
      </c>
      <c r="S146" s="103" t="str">
        <f>IF(AND($L146=$Q$7,$C146&lt;'1121'!$N$9),"x","")</f>
        <v>x</v>
      </c>
      <c r="T146" s="103" t="str">
        <f>IF(AND($C146&gt;='1331'!$I$9,$C146&lt;='1331'!$J$9,OR($K146=$T$7,$L146=$T$7)),"x","")</f>
        <v/>
      </c>
      <c r="U146" s="103" t="str">
        <f>IF(AND($K146=$T$7,$C146&lt;'1331'!$I$9),"x","")</f>
        <v/>
      </c>
      <c r="V146" s="103" t="str">
        <f>IF(AND($L146=$T$7,$C146&lt;'1331'!$I$9),"x","")</f>
        <v/>
      </c>
      <c r="W146" s="103" t="str">
        <f>IF(AND('3411-CT'!$E$9=TH!I146,OR(TH!K146=TH!$W$7,L146=TH!$W$7)),"x","")</f>
        <v/>
      </c>
      <c r="X146" s="103" t="str">
        <f>IF(OR(TH!K146=TH!$X$7,L146=TH!$X$7),"x","")</f>
        <v/>
      </c>
    </row>
    <row r="147" spans="1:24" s="88" customFormat="1">
      <c r="A147" s="178" t="str">
        <f>IF(E147&lt;&gt;"",IF(AND(B147='IN - TC'!$Q$4,OR(TH!K147="1111",TH!L147="1111")),TH!E147,""),"")</f>
        <v/>
      </c>
      <c r="B147" s="73">
        <f t="shared" si="14"/>
        <v>2014</v>
      </c>
      <c r="C147" s="73">
        <f t="shared" si="15"/>
        <v>9</v>
      </c>
      <c r="D147" s="74">
        <v>41907</v>
      </c>
      <c r="E147" s="74" t="s">
        <v>8</v>
      </c>
      <c r="F147" s="74">
        <v>41907</v>
      </c>
      <c r="G147" s="77" t="s">
        <v>375</v>
      </c>
      <c r="H147" s="180"/>
      <c r="I147" s="91"/>
      <c r="J147" s="75">
        <v>2000</v>
      </c>
      <c r="K147" s="76" t="s">
        <v>10</v>
      </c>
      <c r="L147" s="76" t="s">
        <v>34</v>
      </c>
      <c r="M147" s="103" t="str">
        <f>IF(AND('331-CT'!$E$7=TH!I147,OR(K147="331",L147="331")),"x","")</f>
        <v/>
      </c>
      <c r="N147" s="103" t="str">
        <f>IF(AND($C147&gt;='1111'!$N$10,$C147&lt;='1111'!$O$10,OR($K147=$N$7,$L147=$N$7)),"x","")</f>
        <v/>
      </c>
      <c r="O147" s="103" t="str">
        <f>IF(AND($K147=$N$7,$C147&lt;'1111'!$N$10),"x","")</f>
        <v/>
      </c>
      <c r="P147" s="103" t="str">
        <f>IF(AND($L147=$N$7,$C147&lt;'1111'!$N$10),"x","")</f>
        <v/>
      </c>
      <c r="Q147" s="103" t="str">
        <f>IF(AND($C147&gt;='1121'!$N$9,$C147&lt;='1121'!$O$9,OR($K147=$Q$7,$L147=$Q$7)),"x","")</f>
        <v/>
      </c>
      <c r="R147" s="103" t="str">
        <f>IF(AND($K147=$Q$7,$C147&lt;'1121'!$N$9),"x","")</f>
        <v/>
      </c>
      <c r="S147" s="103" t="str">
        <f>IF(AND($L147=$Q$7,$C147&lt;'1121'!$N$9),"x","")</f>
        <v>x</v>
      </c>
      <c r="T147" s="103" t="str">
        <f>IF(AND($C147&gt;='1331'!$I$9,$C147&lt;='1331'!$J$9,OR($K147=$T$7,$L147=$T$7)),"x","")</f>
        <v/>
      </c>
      <c r="U147" s="103" t="str">
        <f>IF(AND($K147=$T$7,$C147&lt;'1331'!$I$9),"x","")</f>
        <v/>
      </c>
      <c r="V147" s="103" t="str">
        <f>IF(AND($L147=$T$7,$C147&lt;'1331'!$I$9),"x","")</f>
        <v/>
      </c>
      <c r="W147" s="103" t="str">
        <f>IF(AND('3411-CT'!$E$9=TH!I147,OR(TH!K147=TH!$W$7,L147=TH!$W$7)),"x","")</f>
        <v/>
      </c>
      <c r="X147" s="103" t="str">
        <f>IF(OR(TH!K147=TH!$X$7,L147=TH!$X$7),"x","")</f>
        <v/>
      </c>
    </row>
    <row r="148" spans="1:24" s="104" customFormat="1">
      <c r="A148" s="178" t="str">
        <f>IF(E148&lt;&gt;"",IF(AND(B148='IN - TC'!$Q$4,OR(TH!K148="1111",TH!L148="1111")),TH!E148,""),"")</f>
        <v/>
      </c>
      <c r="B148" s="73">
        <f t="shared" si="14"/>
        <v>2014</v>
      </c>
      <c r="C148" s="73">
        <f t="shared" si="15"/>
        <v>9</v>
      </c>
      <c r="D148" s="74">
        <v>41907</v>
      </c>
      <c r="E148" s="74" t="s">
        <v>8</v>
      </c>
      <c r="F148" s="74">
        <v>41907</v>
      </c>
      <c r="G148" s="77" t="s">
        <v>29</v>
      </c>
      <c r="H148" s="180"/>
      <c r="I148" s="7"/>
      <c r="J148" s="75">
        <v>50000</v>
      </c>
      <c r="K148" s="76" t="s">
        <v>159</v>
      </c>
      <c r="L148" s="76" t="s">
        <v>34</v>
      </c>
      <c r="M148" s="103" t="str">
        <f>IF(AND('331-CT'!$E$7=TH!I148,OR(K148="331",L148="331")),"x","")</f>
        <v/>
      </c>
      <c r="N148" s="103" t="str">
        <f>IF(AND($C148&gt;='1111'!$N$10,$C148&lt;='1111'!$O$10,OR($K148=$N$7,$L148=$N$7)),"x","")</f>
        <v/>
      </c>
      <c r="O148" s="103" t="str">
        <f>IF(AND($K148=$N$7,$C148&lt;'1111'!$N$10),"x","")</f>
        <v/>
      </c>
      <c r="P148" s="103" t="str">
        <f>IF(AND($L148=$N$7,$C148&lt;'1111'!$N$10),"x","")</f>
        <v/>
      </c>
      <c r="Q148" s="103" t="str">
        <f>IF(AND($C148&gt;='1121'!$N$9,$C148&lt;='1121'!$O$9,OR($K148=$Q$7,$L148=$Q$7)),"x","")</f>
        <v/>
      </c>
      <c r="R148" s="103" t="str">
        <f>IF(AND($K148=$Q$7,$C148&lt;'1121'!$N$9),"x","")</f>
        <v/>
      </c>
      <c r="S148" s="103" t="str">
        <f>IF(AND($L148=$Q$7,$C148&lt;'1121'!$N$9),"x","")</f>
        <v>x</v>
      </c>
      <c r="T148" s="103" t="str">
        <f>IF(AND($C148&gt;='1331'!$I$9,$C148&lt;='1331'!$J$9,OR($K148=$T$7,$L148=$T$7)),"x","")</f>
        <v/>
      </c>
      <c r="U148" s="103" t="str">
        <f>IF(AND($K148=$T$7,$C148&lt;'1331'!$I$9),"x","")</f>
        <v/>
      </c>
      <c r="V148" s="103" t="str">
        <f>IF(AND($L148=$T$7,$C148&lt;'1331'!$I$9),"x","")</f>
        <v/>
      </c>
      <c r="W148" s="103" t="str">
        <f>IF(AND('3411-CT'!$E$9=TH!I148,OR(TH!K148=TH!$W$7,L148=TH!$W$7)),"x","")</f>
        <v/>
      </c>
      <c r="X148" s="103" t="str">
        <f>IF(OR(TH!K148=TH!$X$7,L148=TH!$X$7),"x","")</f>
        <v/>
      </c>
    </row>
    <row r="149" spans="1:24" s="104" customFormat="1">
      <c r="A149" s="178" t="str">
        <f>IF(E149&lt;&gt;"",IF(AND(B149='IN - TC'!$Q$4,OR(TH!K149="1111",TH!L149="1111")),TH!E149,""),"")</f>
        <v/>
      </c>
      <c r="B149" s="73">
        <f t="shared" si="14"/>
        <v>2014</v>
      </c>
      <c r="C149" s="73">
        <f t="shared" si="15"/>
        <v>9</v>
      </c>
      <c r="D149" s="74">
        <v>41907</v>
      </c>
      <c r="E149" s="74" t="s">
        <v>8</v>
      </c>
      <c r="F149" s="74">
        <v>41907</v>
      </c>
      <c r="G149" s="77" t="s">
        <v>26</v>
      </c>
      <c r="H149" s="180"/>
      <c r="I149" s="91"/>
      <c r="J149" s="75">
        <v>5000</v>
      </c>
      <c r="K149" s="76" t="s">
        <v>10</v>
      </c>
      <c r="L149" s="76" t="s">
        <v>34</v>
      </c>
      <c r="M149" s="103" t="str">
        <f>IF(AND('331-CT'!$E$7=TH!I149,OR(K149="331",L149="331")),"x","")</f>
        <v/>
      </c>
      <c r="N149" s="103" t="str">
        <f>IF(AND($C149&gt;='1111'!$N$10,$C149&lt;='1111'!$O$10,OR($K149=$N$7,$L149=$N$7)),"x","")</f>
        <v/>
      </c>
      <c r="O149" s="103" t="str">
        <f>IF(AND($K149=$N$7,$C149&lt;'1111'!$N$10),"x","")</f>
        <v/>
      </c>
      <c r="P149" s="103" t="str">
        <f>IF(AND($L149=$N$7,$C149&lt;'1111'!$N$10),"x","")</f>
        <v/>
      </c>
      <c r="Q149" s="103" t="str">
        <f>IF(AND($C149&gt;='1121'!$N$9,$C149&lt;='1121'!$O$9,OR($K149=$Q$7,$L149=$Q$7)),"x","")</f>
        <v/>
      </c>
      <c r="R149" s="103" t="str">
        <f>IF(AND($K149=$Q$7,$C149&lt;'1121'!$N$9),"x","")</f>
        <v/>
      </c>
      <c r="S149" s="103" t="str">
        <f>IF(AND($L149=$Q$7,$C149&lt;'1121'!$N$9),"x","")</f>
        <v>x</v>
      </c>
      <c r="T149" s="103" t="str">
        <f>IF(AND($C149&gt;='1331'!$I$9,$C149&lt;='1331'!$J$9,OR($K149=$T$7,$L149=$T$7)),"x","")</f>
        <v/>
      </c>
      <c r="U149" s="103" t="str">
        <f>IF(AND($K149=$T$7,$C149&lt;'1331'!$I$9),"x","")</f>
        <v/>
      </c>
      <c r="V149" s="103" t="str">
        <f>IF(AND($L149=$T$7,$C149&lt;'1331'!$I$9),"x","")</f>
        <v/>
      </c>
      <c r="W149" s="103" t="str">
        <f>IF(AND('3411-CT'!$E$9=TH!I149,OR(TH!K149=TH!$W$7,L149=TH!$W$7)),"x","")</f>
        <v/>
      </c>
      <c r="X149" s="103" t="str">
        <f>IF(OR(TH!K149=TH!$X$7,L149=TH!$X$7),"x","")</f>
        <v/>
      </c>
    </row>
    <row r="150" spans="1:24" s="88" customFormat="1">
      <c r="A150" s="178" t="str">
        <f>IF(E150&lt;&gt;"",IF(AND(B150='IN - TC'!$Q$4,OR(TH!K150="1111",TH!L150="1111")),TH!E150,""),"")</f>
        <v/>
      </c>
      <c r="B150" s="73">
        <f t="shared" si="14"/>
        <v>2014</v>
      </c>
      <c r="C150" s="73">
        <f t="shared" si="15"/>
        <v>9</v>
      </c>
      <c r="D150" s="74">
        <v>41907</v>
      </c>
      <c r="E150" s="74" t="s">
        <v>8</v>
      </c>
      <c r="F150" s="74">
        <v>41907</v>
      </c>
      <c r="G150" s="77" t="s">
        <v>346</v>
      </c>
      <c r="H150" s="180"/>
      <c r="I150" s="91"/>
      <c r="J150" s="75">
        <v>50000</v>
      </c>
      <c r="K150" s="76" t="s">
        <v>159</v>
      </c>
      <c r="L150" s="76" t="s">
        <v>34</v>
      </c>
      <c r="M150" s="103" t="str">
        <f>IF(AND('331-CT'!$E$7=TH!I150,OR(K150="331",L150="331")),"x","")</f>
        <v/>
      </c>
      <c r="N150" s="103" t="str">
        <f>IF(AND($C150&gt;='1111'!$N$10,$C150&lt;='1111'!$O$10,OR($K150=$N$7,$L150=$N$7)),"x","")</f>
        <v/>
      </c>
      <c r="O150" s="103" t="str">
        <f>IF(AND($K150=$N$7,$C150&lt;'1111'!$N$10),"x","")</f>
        <v/>
      </c>
      <c r="P150" s="103" t="str">
        <f>IF(AND($L150=$N$7,$C150&lt;'1111'!$N$10),"x","")</f>
        <v/>
      </c>
      <c r="Q150" s="103" t="str">
        <f>IF(AND($C150&gt;='1121'!$N$9,$C150&lt;='1121'!$O$9,OR($K150=$Q$7,$L150=$Q$7)),"x","")</f>
        <v/>
      </c>
      <c r="R150" s="103" t="str">
        <f>IF(AND($K150=$Q$7,$C150&lt;'1121'!$N$9),"x","")</f>
        <v/>
      </c>
      <c r="S150" s="103" t="str">
        <f>IF(AND($L150=$Q$7,$C150&lt;'1121'!$N$9),"x","")</f>
        <v>x</v>
      </c>
      <c r="T150" s="103" t="str">
        <f>IF(AND($C150&gt;='1331'!$I$9,$C150&lt;='1331'!$J$9,OR($K150=$T$7,$L150=$T$7)),"x","")</f>
        <v/>
      </c>
      <c r="U150" s="103" t="str">
        <f>IF(AND($K150=$T$7,$C150&lt;'1331'!$I$9),"x","")</f>
        <v/>
      </c>
      <c r="V150" s="103" t="str">
        <f>IF(AND($L150=$T$7,$C150&lt;'1331'!$I$9),"x","")</f>
        <v/>
      </c>
      <c r="W150" s="103" t="str">
        <f>IF(AND('3411-CT'!$E$9=TH!I150,OR(TH!K150=TH!$W$7,L150=TH!$W$7)),"x","")</f>
        <v/>
      </c>
      <c r="X150" s="103" t="str">
        <f>IF(OR(TH!K150=TH!$X$7,L150=TH!$X$7),"x","")</f>
        <v/>
      </c>
    </row>
    <row r="151" spans="1:24" s="88" customFormat="1">
      <c r="A151" s="178" t="str">
        <f>IF(E151&lt;&gt;"",IF(AND(B151='IN - TC'!$Q$4,OR(TH!K151="1111",TH!L151="1111")),TH!E151,""),"")</f>
        <v/>
      </c>
      <c r="B151" s="73">
        <f t="shared" si="14"/>
        <v>2014</v>
      </c>
      <c r="C151" s="73">
        <f t="shared" si="15"/>
        <v>9</v>
      </c>
      <c r="D151" s="74">
        <v>41907</v>
      </c>
      <c r="E151" s="74" t="s">
        <v>8</v>
      </c>
      <c r="F151" s="74">
        <v>41907</v>
      </c>
      <c r="G151" s="77" t="s">
        <v>26</v>
      </c>
      <c r="H151" s="180"/>
      <c r="I151" s="91"/>
      <c r="J151" s="75">
        <v>5000</v>
      </c>
      <c r="K151" s="76" t="s">
        <v>10</v>
      </c>
      <c r="L151" s="76" t="s">
        <v>34</v>
      </c>
      <c r="M151" s="103" t="str">
        <f>IF(AND('331-CT'!$E$7=TH!I151,OR(K151="331",L151="331")),"x","")</f>
        <v/>
      </c>
      <c r="N151" s="103" t="str">
        <f>IF(AND($C151&gt;='1111'!$N$10,$C151&lt;='1111'!$O$10,OR($K151=$N$7,$L151=$N$7)),"x","")</f>
        <v/>
      </c>
      <c r="O151" s="103" t="str">
        <f>IF(AND($K151=$N$7,$C151&lt;'1111'!$N$10),"x","")</f>
        <v/>
      </c>
      <c r="P151" s="103" t="str">
        <f>IF(AND($L151=$N$7,$C151&lt;'1111'!$N$10),"x","")</f>
        <v/>
      </c>
      <c r="Q151" s="103" t="str">
        <f>IF(AND($C151&gt;='1121'!$N$9,$C151&lt;='1121'!$O$9,OR($K151=$Q$7,$L151=$Q$7)),"x","")</f>
        <v/>
      </c>
      <c r="R151" s="103" t="str">
        <f>IF(AND($K151=$Q$7,$C151&lt;'1121'!$N$9),"x","")</f>
        <v/>
      </c>
      <c r="S151" s="103" t="str">
        <f>IF(AND($L151=$Q$7,$C151&lt;'1121'!$N$9),"x","")</f>
        <v>x</v>
      </c>
      <c r="T151" s="103" t="str">
        <f>IF(AND($C151&gt;='1331'!$I$9,$C151&lt;='1331'!$J$9,OR($K151=$T$7,$L151=$T$7)),"x","")</f>
        <v/>
      </c>
      <c r="U151" s="103" t="str">
        <f>IF(AND($K151=$T$7,$C151&lt;'1331'!$I$9),"x","")</f>
        <v/>
      </c>
      <c r="V151" s="103" t="str">
        <f>IF(AND($L151=$T$7,$C151&lt;'1331'!$I$9),"x","")</f>
        <v/>
      </c>
      <c r="W151" s="103" t="str">
        <f>IF(AND('3411-CT'!$E$9=TH!I151,OR(TH!K151=TH!$W$7,L151=TH!$W$7)),"x","")</f>
        <v/>
      </c>
      <c r="X151" s="103" t="str">
        <f>IF(OR(TH!K151=TH!$X$7,L151=TH!$X$7),"x","")</f>
        <v/>
      </c>
    </row>
    <row r="152" spans="1:24" s="88" customFormat="1">
      <c r="A152" s="178" t="str">
        <f>IF(E152&lt;&gt;"",IF(AND(B152='IN - TC'!$Q$4,OR(TH!K152="1111",TH!L152="1111")),TH!E152,""),"")</f>
        <v/>
      </c>
      <c r="B152" s="73">
        <f t="shared" si="14"/>
        <v>2014</v>
      </c>
      <c r="C152" s="73">
        <f t="shared" si="15"/>
        <v>9</v>
      </c>
      <c r="D152" s="74">
        <v>41907</v>
      </c>
      <c r="E152" s="74" t="s">
        <v>8</v>
      </c>
      <c r="F152" s="74">
        <v>41907</v>
      </c>
      <c r="G152" s="77" t="s">
        <v>28</v>
      </c>
      <c r="H152" s="182"/>
      <c r="I152" s="91"/>
      <c r="J152" s="75">
        <v>50000</v>
      </c>
      <c r="K152" s="76" t="s">
        <v>159</v>
      </c>
      <c r="L152" s="76" t="s">
        <v>34</v>
      </c>
      <c r="M152" s="103" t="str">
        <f>IF(AND('331-CT'!$E$7=TH!I152,OR(K152="331",L152="331")),"x","")</f>
        <v/>
      </c>
      <c r="N152" s="103" t="str">
        <f>IF(AND($C152&gt;='1111'!$N$10,$C152&lt;='1111'!$O$10,OR($K152=$N$7,$L152=$N$7)),"x","")</f>
        <v/>
      </c>
      <c r="O152" s="103" t="str">
        <f>IF(AND($K152=$N$7,$C152&lt;'1111'!$N$10),"x","")</f>
        <v/>
      </c>
      <c r="P152" s="103" t="str">
        <f>IF(AND($L152=$N$7,$C152&lt;'1111'!$N$10),"x","")</f>
        <v/>
      </c>
      <c r="Q152" s="103" t="str">
        <f>IF(AND($C152&gt;='1121'!$N$9,$C152&lt;='1121'!$O$9,OR($K152=$Q$7,$L152=$Q$7)),"x","")</f>
        <v/>
      </c>
      <c r="R152" s="103" t="str">
        <f>IF(AND($K152=$Q$7,$C152&lt;'1121'!$N$9),"x","")</f>
        <v/>
      </c>
      <c r="S152" s="103" t="str">
        <f>IF(AND($L152=$Q$7,$C152&lt;'1121'!$N$9),"x","")</f>
        <v>x</v>
      </c>
      <c r="T152" s="103" t="str">
        <f>IF(AND($C152&gt;='1331'!$I$9,$C152&lt;='1331'!$J$9,OR($K152=$T$7,$L152=$T$7)),"x","")</f>
        <v/>
      </c>
      <c r="U152" s="103" t="str">
        <f>IF(AND($K152=$T$7,$C152&lt;'1331'!$I$9),"x","")</f>
        <v/>
      </c>
      <c r="V152" s="103" t="str">
        <f>IF(AND($L152=$T$7,$C152&lt;'1331'!$I$9),"x","")</f>
        <v/>
      </c>
      <c r="W152" s="103" t="str">
        <f>IF(AND('3411-CT'!$E$9=TH!I152,OR(TH!K152=TH!$W$7,L152=TH!$W$7)),"x","")</f>
        <v/>
      </c>
      <c r="X152" s="103" t="str">
        <f>IF(OR(TH!K152=TH!$X$7,L152=TH!$X$7),"x","")</f>
        <v/>
      </c>
    </row>
    <row r="153" spans="1:24" s="88" customFormat="1">
      <c r="A153" s="178" t="str">
        <f>IF(E153&lt;&gt;"",IF(AND(B153='IN - TC'!$Q$4,OR(TH!K153="1111",TH!L153="1111")),TH!E153,""),"")</f>
        <v/>
      </c>
      <c r="B153" s="73">
        <f t="shared" si="14"/>
        <v>2014</v>
      </c>
      <c r="C153" s="73">
        <f t="shared" si="15"/>
        <v>9</v>
      </c>
      <c r="D153" s="74">
        <v>41907</v>
      </c>
      <c r="E153" s="74" t="s">
        <v>8</v>
      </c>
      <c r="F153" s="74">
        <v>41907</v>
      </c>
      <c r="G153" s="77" t="s">
        <v>26</v>
      </c>
      <c r="H153" s="182"/>
      <c r="I153" s="91"/>
      <c r="J153" s="75">
        <v>5000</v>
      </c>
      <c r="K153" s="76" t="s">
        <v>10</v>
      </c>
      <c r="L153" s="76" t="s">
        <v>34</v>
      </c>
      <c r="M153" s="103" t="str">
        <f>IF(AND('331-CT'!$E$7=TH!I153,OR(K153="331",L153="331")),"x","")</f>
        <v/>
      </c>
      <c r="N153" s="103" t="str">
        <f>IF(AND($C153&gt;='1111'!$N$10,$C153&lt;='1111'!$O$10,OR($K153=$N$7,$L153=$N$7)),"x","")</f>
        <v/>
      </c>
      <c r="O153" s="103" t="str">
        <f>IF(AND($K153=$N$7,$C153&lt;'1111'!$N$10),"x","")</f>
        <v/>
      </c>
      <c r="P153" s="103" t="str">
        <f>IF(AND($L153=$N$7,$C153&lt;'1111'!$N$10),"x","")</f>
        <v/>
      </c>
      <c r="Q153" s="103" t="str">
        <f>IF(AND($C153&gt;='1121'!$N$9,$C153&lt;='1121'!$O$9,OR($K153=$Q$7,$L153=$Q$7)),"x","")</f>
        <v/>
      </c>
      <c r="R153" s="103" t="str">
        <f>IF(AND($K153=$Q$7,$C153&lt;'1121'!$N$9),"x","")</f>
        <v/>
      </c>
      <c r="S153" s="103" t="str">
        <f>IF(AND($L153=$Q$7,$C153&lt;'1121'!$N$9),"x","")</f>
        <v>x</v>
      </c>
      <c r="T153" s="103" t="str">
        <f>IF(AND($C153&gt;='1331'!$I$9,$C153&lt;='1331'!$J$9,OR($K153=$T$7,$L153=$T$7)),"x","")</f>
        <v/>
      </c>
      <c r="U153" s="103" t="str">
        <f>IF(AND($K153=$T$7,$C153&lt;'1331'!$I$9),"x","")</f>
        <v/>
      </c>
      <c r="V153" s="103" t="str">
        <f>IF(AND($L153=$T$7,$C153&lt;'1331'!$I$9),"x","")</f>
        <v/>
      </c>
      <c r="W153" s="103" t="str">
        <f>IF(AND('3411-CT'!$E$9=TH!I153,OR(TH!K153=TH!$W$7,L153=TH!$W$7)),"x","")</f>
        <v/>
      </c>
      <c r="X153" s="103" t="str">
        <f>IF(OR(TH!K153=TH!$X$7,L153=TH!$X$7),"x","")</f>
        <v/>
      </c>
    </row>
    <row r="154" spans="1:24" s="88" customFormat="1">
      <c r="A154" s="178" t="str">
        <f>IF(E154&lt;&gt;"",IF(AND(B154='IN - TC'!$Q$4,OR(TH!K154="1111",TH!L154="1111")),TH!E154,""),"")</f>
        <v/>
      </c>
      <c r="B154" s="73">
        <f t="shared" si="14"/>
        <v>2014</v>
      </c>
      <c r="C154" s="73">
        <f t="shared" si="15"/>
        <v>10</v>
      </c>
      <c r="D154" s="74">
        <v>41915</v>
      </c>
      <c r="E154" s="74" t="s">
        <v>8</v>
      </c>
      <c r="F154" s="74">
        <v>41915</v>
      </c>
      <c r="G154" s="77" t="s">
        <v>376</v>
      </c>
      <c r="H154" s="182"/>
      <c r="I154" s="7" t="s">
        <v>78</v>
      </c>
      <c r="J154" s="75">
        <v>16327199</v>
      </c>
      <c r="K154" s="76" t="s">
        <v>9</v>
      </c>
      <c r="L154" s="76" t="s">
        <v>34</v>
      </c>
      <c r="M154" s="103" t="str">
        <f>IF(AND('331-CT'!$E$7=TH!I154,OR(K154="331",L154="331")),"x","")</f>
        <v/>
      </c>
      <c r="N154" s="103" t="str">
        <f>IF(AND($C154&gt;='1111'!$N$10,$C154&lt;='1111'!$O$10,OR($K154=$N$7,$L154=$N$7)),"x","")</f>
        <v/>
      </c>
      <c r="O154" s="103" t="str">
        <f>IF(AND($K154=$N$7,$C154&lt;'1111'!$N$10),"x","")</f>
        <v/>
      </c>
      <c r="P154" s="103" t="str">
        <f>IF(AND($L154=$N$7,$C154&lt;'1111'!$N$10),"x","")</f>
        <v/>
      </c>
      <c r="Q154" s="103" t="str">
        <f>IF(AND($C154&gt;='1121'!$N$9,$C154&lt;='1121'!$O$9,OR($K154=$Q$7,$L154=$Q$7)),"x","")</f>
        <v>x</v>
      </c>
      <c r="R154" s="103" t="str">
        <f>IF(AND($K154=$Q$7,$C154&lt;'1121'!$N$9),"x","")</f>
        <v/>
      </c>
      <c r="S154" s="103" t="str">
        <f>IF(AND($L154=$Q$7,$C154&lt;'1121'!$N$9),"x","")</f>
        <v/>
      </c>
      <c r="T154" s="103" t="str">
        <f>IF(AND($C154&gt;='1331'!$I$9,$C154&lt;='1331'!$J$9,OR($K154=$T$7,$L154=$T$7)),"x","")</f>
        <v/>
      </c>
      <c r="U154" s="103" t="str">
        <f>IF(AND($K154=$T$7,$C154&lt;'1331'!$I$9),"x","")</f>
        <v/>
      </c>
      <c r="V154" s="103" t="str">
        <f>IF(AND($L154=$T$7,$C154&lt;'1331'!$I$9),"x","")</f>
        <v/>
      </c>
      <c r="W154" s="103" t="str">
        <f>IF(AND('3411-CT'!$E$9=TH!I154,OR(TH!K154=TH!$W$7,L154=TH!$W$7)),"x","")</f>
        <v/>
      </c>
      <c r="X154" s="103" t="str">
        <f>IF(OR(TH!K154=TH!$X$7,L154=TH!$X$7),"x","")</f>
        <v/>
      </c>
    </row>
    <row r="155" spans="1:24" s="88" customFormat="1">
      <c r="A155" s="178" t="str">
        <f>IF(E155&lt;&gt;"",IF(AND(B155='IN - TC'!$Q$4,OR(TH!K155="1111",TH!L155="1111")),TH!E155,""),"")</f>
        <v/>
      </c>
      <c r="B155" s="73">
        <f t="shared" si="14"/>
        <v>2014</v>
      </c>
      <c r="C155" s="73">
        <f t="shared" si="15"/>
        <v>10</v>
      </c>
      <c r="D155" s="74">
        <v>41915</v>
      </c>
      <c r="E155" s="74" t="s">
        <v>8</v>
      </c>
      <c r="F155" s="74">
        <v>41915</v>
      </c>
      <c r="G155" s="77" t="s">
        <v>21</v>
      </c>
      <c r="H155" s="182"/>
      <c r="I155" s="7"/>
      <c r="J155" s="75">
        <v>25000</v>
      </c>
      <c r="K155" s="76" t="s">
        <v>159</v>
      </c>
      <c r="L155" s="76" t="s">
        <v>34</v>
      </c>
      <c r="M155" s="103" t="str">
        <f>IF(AND('331-CT'!$E$7=TH!I155,OR(K155="331",L155="331")),"x","")</f>
        <v/>
      </c>
      <c r="N155" s="103" t="str">
        <f>IF(AND($C155&gt;='1111'!$N$10,$C155&lt;='1111'!$O$10,OR($K155=$N$7,$L155=$N$7)),"x","")</f>
        <v/>
      </c>
      <c r="O155" s="103" t="str">
        <f>IF(AND($K155=$N$7,$C155&lt;'1111'!$N$10),"x","")</f>
        <v/>
      </c>
      <c r="P155" s="103" t="str">
        <f>IF(AND($L155=$N$7,$C155&lt;'1111'!$N$10),"x","")</f>
        <v/>
      </c>
      <c r="Q155" s="103" t="str">
        <f>IF(AND($C155&gt;='1121'!$N$9,$C155&lt;='1121'!$O$9,OR($K155=$Q$7,$L155=$Q$7)),"x","")</f>
        <v>x</v>
      </c>
      <c r="R155" s="103" t="str">
        <f>IF(AND($K155=$Q$7,$C155&lt;'1121'!$N$9),"x","")</f>
        <v/>
      </c>
      <c r="S155" s="103" t="str">
        <f>IF(AND($L155=$Q$7,$C155&lt;'1121'!$N$9),"x","")</f>
        <v/>
      </c>
      <c r="T155" s="103" t="str">
        <f>IF(AND($C155&gt;='1331'!$I$9,$C155&lt;='1331'!$J$9,OR($K155=$T$7,$L155=$T$7)),"x","")</f>
        <v/>
      </c>
      <c r="U155" s="103" t="str">
        <f>IF(AND($K155=$T$7,$C155&lt;'1331'!$I$9),"x","")</f>
        <v/>
      </c>
      <c r="V155" s="103" t="str">
        <f>IF(AND($L155=$T$7,$C155&lt;'1331'!$I$9),"x","")</f>
        <v/>
      </c>
      <c r="W155" s="103" t="str">
        <f>IF(AND('3411-CT'!$E$9=TH!I155,OR(TH!K155=TH!$W$7,L155=TH!$W$7)),"x","")</f>
        <v/>
      </c>
      <c r="X155" s="103" t="str">
        <f>IF(OR(TH!K155=TH!$X$7,L155=TH!$X$7),"x","")</f>
        <v/>
      </c>
    </row>
    <row r="156" spans="1:24" s="88" customFormat="1">
      <c r="A156" s="178" t="str">
        <f>IF(E156&lt;&gt;"",IF(AND(B156='IN - TC'!$Q$4,OR(TH!K156="1111",TH!L156="1111")),TH!E156,""),"")</f>
        <v/>
      </c>
      <c r="B156" s="73">
        <f t="shared" si="14"/>
        <v>2014</v>
      </c>
      <c r="C156" s="73">
        <f t="shared" si="15"/>
        <v>10</v>
      </c>
      <c r="D156" s="74">
        <v>41915</v>
      </c>
      <c r="E156" s="74" t="s">
        <v>8</v>
      </c>
      <c r="F156" s="74">
        <v>41915</v>
      </c>
      <c r="G156" s="77" t="s">
        <v>22</v>
      </c>
      <c r="H156" s="180"/>
      <c r="I156" s="93"/>
      <c r="J156" s="75">
        <v>2500</v>
      </c>
      <c r="K156" s="76" t="s">
        <v>10</v>
      </c>
      <c r="L156" s="76" t="s">
        <v>34</v>
      </c>
      <c r="M156" s="103" t="str">
        <f>IF(AND('331-CT'!$E$7=TH!I156,OR(K156="331",L156="331")),"x","")</f>
        <v/>
      </c>
      <c r="N156" s="103" t="str">
        <f>IF(AND($C156&gt;='1111'!$N$10,$C156&lt;='1111'!$O$10,OR($K156=$N$7,$L156=$N$7)),"x","")</f>
        <v/>
      </c>
      <c r="O156" s="103" t="str">
        <f>IF(AND($K156=$N$7,$C156&lt;'1111'!$N$10),"x","")</f>
        <v/>
      </c>
      <c r="P156" s="103" t="str">
        <f>IF(AND($L156=$N$7,$C156&lt;'1111'!$N$10),"x","")</f>
        <v/>
      </c>
      <c r="Q156" s="103" t="str">
        <f>IF(AND($C156&gt;='1121'!$N$9,$C156&lt;='1121'!$O$9,OR($K156=$Q$7,$L156=$Q$7)),"x","")</f>
        <v>x</v>
      </c>
      <c r="R156" s="103" t="str">
        <f>IF(AND($K156=$Q$7,$C156&lt;'1121'!$N$9),"x","")</f>
        <v/>
      </c>
      <c r="S156" s="103" t="str">
        <f>IF(AND($L156=$Q$7,$C156&lt;'1121'!$N$9),"x","")</f>
        <v/>
      </c>
      <c r="T156" s="103" t="str">
        <f>IF(AND($C156&gt;='1331'!$I$9,$C156&lt;='1331'!$J$9,OR($K156=$T$7,$L156=$T$7)),"x","")</f>
        <v/>
      </c>
      <c r="U156" s="103" t="str">
        <f>IF(AND($K156=$T$7,$C156&lt;'1331'!$I$9),"x","")</f>
        <v/>
      </c>
      <c r="V156" s="103" t="str">
        <f>IF(AND($L156=$T$7,$C156&lt;'1331'!$I$9),"x","")</f>
        <v/>
      </c>
      <c r="W156" s="103" t="str">
        <f>IF(AND('3411-CT'!$E$9=TH!I156,OR(TH!K156=TH!$W$7,L156=TH!$W$7)),"x","")</f>
        <v/>
      </c>
      <c r="X156" s="103" t="str">
        <f>IF(OR(TH!K156=TH!$X$7,L156=TH!$X$7),"x","")</f>
        <v/>
      </c>
    </row>
    <row r="157" spans="1:24" s="88" customFormat="1">
      <c r="A157" s="178" t="str">
        <f>IF(E157&lt;&gt;"",IF(AND(B157='IN - TC'!$Q$4,OR(TH!K157="1111",TH!L157="1111")),TH!E157,""),"")</f>
        <v/>
      </c>
      <c r="B157" s="73">
        <f t="shared" si="14"/>
        <v>2014</v>
      </c>
      <c r="C157" s="73">
        <f t="shared" si="15"/>
        <v>10</v>
      </c>
      <c r="D157" s="74">
        <v>41918</v>
      </c>
      <c r="E157" s="74" t="s">
        <v>8</v>
      </c>
      <c r="F157" s="74">
        <v>41918</v>
      </c>
      <c r="G157" s="77" t="s">
        <v>377</v>
      </c>
      <c r="H157" s="180"/>
      <c r="I157" s="91" t="s">
        <v>54</v>
      </c>
      <c r="J157" s="75">
        <v>34408000</v>
      </c>
      <c r="K157" s="76" t="s">
        <v>9</v>
      </c>
      <c r="L157" s="76" t="s">
        <v>34</v>
      </c>
      <c r="M157" s="103" t="str">
        <f>IF(AND('331-CT'!$E$7=TH!I157,OR(K157="331",L157="331")),"x","")</f>
        <v/>
      </c>
      <c r="N157" s="103" t="str">
        <f>IF(AND($C157&gt;='1111'!$N$10,$C157&lt;='1111'!$O$10,OR($K157=$N$7,$L157=$N$7)),"x","")</f>
        <v/>
      </c>
      <c r="O157" s="103" t="str">
        <f>IF(AND($K157=$N$7,$C157&lt;'1111'!$N$10),"x","")</f>
        <v/>
      </c>
      <c r="P157" s="103" t="str">
        <f>IF(AND($L157=$N$7,$C157&lt;'1111'!$N$10),"x","")</f>
        <v/>
      </c>
      <c r="Q157" s="103" t="str">
        <f>IF(AND($C157&gt;='1121'!$N$9,$C157&lt;='1121'!$O$9,OR($K157=$Q$7,$L157=$Q$7)),"x","")</f>
        <v>x</v>
      </c>
      <c r="R157" s="103" t="str">
        <f>IF(AND($K157=$Q$7,$C157&lt;'1121'!$N$9),"x","")</f>
        <v/>
      </c>
      <c r="S157" s="103" t="str">
        <f>IF(AND($L157=$Q$7,$C157&lt;'1121'!$N$9),"x","")</f>
        <v/>
      </c>
      <c r="T157" s="103" t="str">
        <f>IF(AND($C157&gt;='1331'!$I$9,$C157&lt;='1331'!$J$9,OR($K157=$T$7,$L157=$T$7)),"x","")</f>
        <v/>
      </c>
      <c r="U157" s="103" t="str">
        <f>IF(AND($K157=$T$7,$C157&lt;'1331'!$I$9),"x","")</f>
        <v/>
      </c>
      <c r="V157" s="103" t="str">
        <f>IF(AND($L157=$T$7,$C157&lt;'1331'!$I$9),"x","")</f>
        <v/>
      </c>
      <c r="W157" s="103" t="str">
        <f>IF(AND('3411-CT'!$E$9=TH!I157,OR(TH!K157=TH!$W$7,L157=TH!$W$7)),"x","")</f>
        <v/>
      </c>
      <c r="X157" s="103" t="str">
        <f>IF(OR(TH!K157=TH!$X$7,L157=TH!$X$7),"x","")</f>
        <v/>
      </c>
    </row>
    <row r="158" spans="1:24" s="88" customFormat="1">
      <c r="A158" s="178" t="str">
        <f>IF(E158&lt;&gt;"",IF(AND(B158='IN - TC'!$Q$4,OR(TH!K158="1111",TH!L158="1111")),TH!E158,""),"")</f>
        <v/>
      </c>
      <c r="B158" s="73">
        <f t="shared" si="14"/>
        <v>2014</v>
      </c>
      <c r="C158" s="73">
        <f t="shared" si="15"/>
        <v>10</v>
      </c>
      <c r="D158" s="74">
        <v>41918</v>
      </c>
      <c r="E158" s="74" t="s">
        <v>8</v>
      </c>
      <c r="F158" s="74">
        <v>41918</v>
      </c>
      <c r="G158" s="77" t="s">
        <v>21</v>
      </c>
      <c r="H158" s="180"/>
      <c r="I158" s="91"/>
      <c r="J158" s="75">
        <v>25000</v>
      </c>
      <c r="K158" s="76" t="s">
        <v>159</v>
      </c>
      <c r="L158" s="76" t="s">
        <v>34</v>
      </c>
      <c r="M158" s="103" t="str">
        <f>IF(AND('331-CT'!$E$7=TH!I158,OR(K158="331",L158="331")),"x","")</f>
        <v/>
      </c>
      <c r="N158" s="103" t="str">
        <f>IF(AND($C158&gt;='1111'!$N$10,$C158&lt;='1111'!$O$10,OR($K158=$N$7,$L158=$N$7)),"x","")</f>
        <v/>
      </c>
      <c r="O158" s="103" t="str">
        <f>IF(AND($K158=$N$7,$C158&lt;'1111'!$N$10),"x","")</f>
        <v/>
      </c>
      <c r="P158" s="103" t="str">
        <f>IF(AND($L158=$N$7,$C158&lt;'1111'!$N$10),"x","")</f>
        <v/>
      </c>
      <c r="Q158" s="103" t="str">
        <f>IF(AND($C158&gt;='1121'!$N$9,$C158&lt;='1121'!$O$9,OR($K158=$Q$7,$L158=$Q$7)),"x","")</f>
        <v>x</v>
      </c>
      <c r="R158" s="103" t="str">
        <f>IF(AND($K158=$Q$7,$C158&lt;'1121'!$N$9),"x","")</f>
        <v/>
      </c>
      <c r="S158" s="103" t="str">
        <f>IF(AND($L158=$Q$7,$C158&lt;'1121'!$N$9),"x","")</f>
        <v/>
      </c>
      <c r="T158" s="103" t="str">
        <f>IF(AND($C158&gt;='1331'!$I$9,$C158&lt;='1331'!$J$9,OR($K158=$T$7,$L158=$T$7)),"x","")</f>
        <v/>
      </c>
      <c r="U158" s="103" t="str">
        <f>IF(AND($K158=$T$7,$C158&lt;'1331'!$I$9),"x","")</f>
        <v/>
      </c>
      <c r="V158" s="103" t="str">
        <f>IF(AND($L158=$T$7,$C158&lt;'1331'!$I$9),"x","")</f>
        <v/>
      </c>
      <c r="W158" s="103" t="str">
        <f>IF(AND('3411-CT'!$E$9=TH!I158,OR(TH!K158=TH!$W$7,L158=TH!$W$7)),"x","")</f>
        <v/>
      </c>
      <c r="X158" s="103" t="str">
        <f>IF(OR(TH!K158=TH!$X$7,L158=TH!$X$7),"x","")</f>
        <v/>
      </c>
    </row>
    <row r="159" spans="1:24" s="88" customFormat="1">
      <c r="A159" s="178" t="str">
        <f>IF(E159&lt;&gt;"",IF(AND(B159='IN - TC'!$Q$4,OR(TH!K159="1111",TH!L159="1111")),TH!E159,""),"")</f>
        <v/>
      </c>
      <c r="B159" s="73">
        <f t="shared" ref="B159:B180" si="16">IF(D159&lt;&gt;"",YEAR(D159),"")</f>
        <v>2014</v>
      </c>
      <c r="C159" s="73">
        <f t="shared" ref="C159:C180" si="17">IF(D159&lt;&gt;"",MONTH(D159),"")</f>
        <v>10</v>
      </c>
      <c r="D159" s="74">
        <v>41918</v>
      </c>
      <c r="E159" s="74" t="s">
        <v>8</v>
      </c>
      <c r="F159" s="74">
        <v>41918</v>
      </c>
      <c r="G159" s="77" t="s">
        <v>22</v>
      </c>
      <c r="H159" s="180"/>
      <c r="I159" s="91"/>
      <c r="J159" s="75">
        <v>2500</v>
      </c>
      <c r="K159" s="76" t="s">
        <v>10</v>
      </c>
      <c r="L159" s="76" t="s">
        <v>34</v>
      </c>
      <c r="M159" s="103" t="str">
        <f>IF(AND('331-CT'!$E$7=TH!I159,OR(K159="331",L159="331")),"x","")</f>
        <v/>
      </c>
      <c r="N159" s="103" t="str">
        <f>IF(AND($C159&gt;='1111'!$N$10,$C159&lt;='1111'!$O$10,OR($K159=$N$7,$L159=$N$7)),"x","")</f>
        <v/>
      </c>
      <c r="O159" s="103" t="str">
        <f>IF(AND($K159=$N$7,$C159&lt;'1111'!$N$10),"x","")</f>
        <v/>
      </c>
      <c r="P159" s="103" t="str">
        <f>IF(AND($L159=$N$7,$C159&lt;'1111'!$N$10),"x","")</f>
        <v/>
      </c>
      <c r="Q159" s="103" t="str">
        <f>IF(AND($C159&gt;='1121'!$N$9,$C159&lt;='1121'!$O$9,OR($K159=$Q$7,$L159=$Q$7)),"x","")</f>
        <v>x</v>
      </c>
      <c r="R159" s="103" t="str">
        <f>IF(AND($K159=$Q$7,$C159&lt;'1121'!$N$9),"x","")</f>
        <v/>
      </c>
      <c r="S159" s="103" t="str">
        <f>IF(AND($L159=$Q$7,$C159&lt;'1121'!$N$9),"x","")</f>
        <v/>
      </c>
      <c r="T159" s="103" t="str">
        <f>IF(AND($C159&gt;='1331'!$I$9,$C159&lt;='1331'!$J$9,OR($K159=$T$7,$L159=$T$7)),"x","")</f>
        <v/>
      </c>
      <c r="U159" s="103" t="str">
        <f>IF(AND($K159=$T$7,$C159&lt;'1331'!$I$9),"x","")</f>
        <v/>
      </c>
      <c r="V159" s="103" t="str">
        <f>IF(AND($L159=$T$7,$C159&lt;'1331'!$I$9),"x","")</f>
        <v/>
      </c>
      <c r="W159" s="103" t="str">
        <f>IF(AND('3411-CT'!$E$9=TH!I159,OR(TH!K159=TH!$W$7,L159=TH!$W$7)),"x","")</f>
        <v/>
      </c>
      <c r="X159" s="103" t="str">
        <f>IF(OR(TH!K159=TH!$X$7,L159=TH!$X$7),"x","")</f>
        <v/>
      </c>
    </row>
    <row r="160" spans="1:24" s="88" customFormat="1">
      <c r="A160" s="178" t="str">
        <f>IF(E160&lt;&gt;"",IF(AND(B160='IN - TC'!$Q$4,OR(TH!K160="1111",TH!L160="1111")),TH!E160,""),"")</f>
        <v/>
      </c>
      <c r="B160" s="73">
        <f t="shared" si="16"/>
        <v>2014</v>
      </c>
      <c r="C160" s="73">
        <f t="shared" si="17"/>
        <v>10</v>
      </c>
      <c r="D160" s="74">
        <v>41927</v>
      </c>
      <c r="E160" s="74" t="s">
        <v>49</v>
      </c>
      <c r="F160" s="74">
        <v>41927</v>
      </c>
      <c r="G160" s="77" t="s">
        <v>79</v>
      </c>
      <c r="H160" s="180" t="s">
        <v>378</v>
      </c>
      <c r="I160" s="91" t="s">
        <v>80</v>
      </c>
      <c r="J160" s="75">
        <v>28000005</v>
      </c>
      <c r="K160" s="76" t="s">
        <v>248</v>
      </c>
      <c r="L160" s="76" t="s">
        <v>9</v>
      </c>
      <c r="M160" s="103" t="str">
        <f>IF(AND('331-CT'!$E$7=TH!I160,OR(K160="331",L160="331")),"x","")</f>
        <v/>
      </c>
      <c r="N160" s="103" t="str">
        <f>IF(AND($C160&gt;='1111'!$N$10,$C160&lt;='1111'!$O$10,OR($K160=$N$7,$L160=$N$7)),"x","")</f>
        <v/>
      </c>
      <c r="O160" s="103" t="str">
        <f>IF(AND($K160=$N$7,$C160&lt;'1111'!$N$10),"x","")</f>
        <v/>
      </c>
      <c r="P160" s="103" t="str">
        <f>IF(AND($L160=$N$7,$C160&lt;'1111'!$N$10),"x","")</f>
        <v/>
      </c>
      <c r="Q160" s="103" t="str">
        <f>IF(AND($C160&gt;='1121'!$N$9,$C160&lt;='1121'!$O$9,OR($K160=$Q$7,$L160=$Q$7)),"x","")</f>
        <v/>
      </c>
      <c r="R160" s="103" t="str">
        <f>IF(AND($K160=$Q$7,$C160&lt;'1121'!$N$9),"x","")</f>
        <v/>
      </c>
      <c r="S160" s="103" t="str">
        <f>IF(AND($L160=$Q$7,$C160&lt;'1121'!$N$9),"x","")</f>
        <v/>
      </c>
      <c r="T160" s="103" t="str">
        <f>IF(AND($C160&gt;='1331'!$I$9,$C160&lt;='1331'!$J$9,OR($K160=$T$7,$L160=$T$7)),"x","")</f>
        <v/>
      </c>
      <c r="U160" s="103" t="str">
        <f>IF(AND($K160=$T$7,$C160&lt;'1331'!$I$9),"x","")</f>
        <v/>
      </c>
      <c r="V160" s="103" t="str">
        <f>IF(AND($L160=$T$7,$C160&lt;'1331'!$I$9),"x","")</f>
        <v/>
      </c>
      <c r="W160" s="103" t="str">
        <f>IF(AND('3411-CT'!$E$9=TH!I160,OR(TH!K160=TH!$W$7,L160=TH!$W$7)),"x","")</f>
        <v/>
      </c>
      <c r="X160" s="103" t="str">
        <f>IF(OR(TH!K160=TH!$X$7,L160=TH!$X$7),"x","")</f>
        <v/>
      </c>
    </row>
    <row r="161" spans="1:24" s="88" customFormat="1">
      <c r="A161" s="178" t="str">
        <f>IF(E161&lt;&gt;"",IF(AND(B161='IN - TC'!$Q$4,OR(TH!K161="1111",TH!L161="1111")),TH!E161,""),"")</f>
        <v/>
      </c>
      <c r="B161" s="73">
        <f t="shared" si="16"/>
        <v>2014</v>
      </c>
      <c r="C161" s="73">
        <f t="shared" si="17"/>
        <v>10</v>
      </c>
      <c r="D161" s="74">
        <v>41927</v>
      </c>
      <c r="E161" s="74" t="s">
        <v>49</v>
      </c>
      <c r="F161" s="74">
        <v>41927</v>
      </c>
      <c r="G161" s="77" t="s">
        <v>379</v>
      </c>
      <c r="H161" s="180" t="s">
        <v>378</v>
      </c>
      <c r="I161" s="91" t="s">
        <v>80</v>
      </c>
      <c r="J161" s="75">
        <v>2800000</v>
      </c>
      <c r="K161" s="76" t="s">
        <v>10</v>
      </c>
      <c r="L161" s="76" t="s">
        <v>9</v>
      </c>
      <c r="M161" s="103" t="str">
        <f>IF(AND('331-CT'!$E$7=TH!I161,OR(K161="331",L161="331")),"x","")</f>
        <v/>
      </c>
      <c r="N161" s="103" t="str">
        <f>IF(AND($C161&gt;='1111'!$N$10,$C161&lt;='1111'!$O$10,OR($K161=$N$7,$L161=$N$7)),"x","")</f>
        <v/>
      </c>
      <c r="O161" s="103" t="str">
        <f>IF(AND($K161=$N$7,$C161&lt;'1111'!$N$10),"x","")</f>
        <v/>
      </c>
      <c r="P161" s="103" t="str">
        <f>IF(AND($L161=$N$7,$C161&lt;'1111'!$N$10),"x","")</f>
        <v/>
      </c>
      <c r="Q161" s="103" t="str">
        <f>IF(AND($C161&gt;='1121'!$N$9,$C161&lt;='1121'!$O$9,OR($K161=$Q$7,$L161=$Q$7)),"x","")</f>
        <v/>
      </c>
      <c r="R161" s="103" t="str">
        <f>IF(AND($K161=$Q$7,$C161&lt;'1121'!$N$9),"x","")</f>
        <v/>
      </c>
      <c r="S161" s="103" t="str">
        <f>IF(AND($L161=$Q$7,$C161&lt;'1121'!$N$9),"x","")</f>
        <v/>
      </c>
      <c r="T161" s="103" t="str">
        <f>IF(AND($C161&gt;='1331'!$I$9,$C161&lt;='1331'!$J$9,OR($K161=$T$7,$L161=$T$7)),"x","")</f>
        <v/>
      </c>
      <c r="U161" s="103" t="str">
        <f>IF(AND($K161=$T$7,$C161&lt;'1331'!$I$9),"x","")</f>
        <v/>
      </c>
      <c r="V161" s="103" t="str">
        <f>IF(AND($L161=$T$7,$C161&lt;'1331'!$I$9),"x","")</f>
        <v/>
      </c>
      <c r="W161" s="103" t="str">
        <f>IF(AND('3411-CT'!$E$9=TH!I161,OR(TH!K161=TH!$W$7,L161=TH!$W$7)),"x","")</f>
        <v/>
      </c>
      <c r="X161" s="103" t="str">
        <f>IF(OR(TH!K161=TH!$X$7,L161=TH!$X$7),"x","")</f>
        <v/>
      </c>
    </row>
    <row r="162" spans="1:24" s="88" customFormat="1">
      <c r="A162" s="178" t="str">
        <f>IF(E162&lt;&gt;"",IF(AND(B162='IN - TC'!$Q$4,OR(TH!K162="1111",TH!L162="1111")),TH!E162,""),"")</f>
        <v/>
      </c>
      <c r="B162" s="73">
        <f t="shared" si="16"/>
        <v>2014</v>
      </c>
      <c r="C162" s="73">
        <f t="shared" si="17"/>
        <v>10</v>
      </c>
      <c r="D162" s="74">
        <v>41928</v>
      </c>
      <c r="E162" s="74" t="s">
        <v>8</v>
      </c>
      <c r="F162" s="74">
        <v>41928</v>
      </c>
      <c r="G162" s="77" t="s">
        <v>353</v>
      </c>
      <c r="H162" s="180"/>
      <c r="I162" s="92" t="s">
        <v>57</v>
      </c>
      <c r="J162" s="75">
        <v>323824160</v>
      </c>
      <c r="K162" s="76" t="s">
        <v>9</v>
      </c>
      <c r="L162" s="76" t="s">
        <v>34</v>
      </c>
      <c r="M162" s="103" t="str">
        <f>IF(AND('331-CT'!$E$7=TH!I162,OR(K162="331",L162="331")),"x","")</f>
        <v/>
      </c>
      <c r="N162" s="103" t="str">
        <f>IF(AND($C162&gt;='1111'!$N$10,$C162&lt;='1111'!$O$10,OR($K162=$N$7,$L162=$N$7)),"x","")</f>
        <v/>
      </c>
      <c r="O162" s="103" t="str">
        <f>IF(AND($K162=$N$7,$C162&lt;'1111'!$N$10),"x","")</f>
        <v/>
      </c>
      <c r="P162" s="103" t="str">
        <f>IF(AND($L162=$N$7,$C162&lt;'1111'!$N$10),"x","")</f>
        <v/>
      </c>
      <c r="Q162" s="103" t="str">
        <f>IF(AND($C162&gt;='1121'!$N$9,$C162&lt;='1121'!$O$9,OR($K162=$Q$7,$L162=$Q$7)),"x","")</f>
        <v>x</v>
      </c>
      <c r="R162" s="103" t="str">
        <f>IF(AND($K162=$Q$7,$C162&lt;'1121'!$N$9),"x","")</f>
        <v/>
      </c>
      <c r="S162" s="103" t="str">
        <f>IF(AND($L162=$Q$7,$C162&lt;'1121'!$N$9),"x","")</f>
        <v/>
      </c>
      <c r="T162" s="103" t="str">
        <f>IF(AND($C162&gt;='1331'!$I$9,$C162&lt;='1331'!$J$9,OR($K162=$T$7,$L162=$T$7)),"x","")</f>
        <v/>
      </c>
      <c r="U162" s="103" t="str">
        <f>IF(AND($K162=$T$7,$C162&lt;'1331'!$I$9),"x","")</f>
        <v/>
      </c>
      <c r="V162" s="103" t="str">
        <f>IF(AND($L162=$T$7,$C162&lt;'1331'!$I$9),"x","")</f>
        <v/>
      </c>
      <c r="W162" s="103" t="str">
        <f>IF(AND('3411-CT'!$E$9=TH!I162,OR(TH!K162=TH!$W$7,L162=TH!$W$7)),"x","")</f>
        <v/>
      </c>
      <c r="X162" s="103" t="str">
        <f>IF(OR(TH!K162=TH!$X$7,L162=TH!$X$7),"x","")</f>
        <v/>
      </c>
    </row>
    <row r="163" spans="1:24" s="88" customFormat="1">
      <c r="A163" s="178" t="str">
        <f>IF(E163&lt;&gt;"",IF(AND(B163='IN - TC'!$Q$4,OR(TH!K163="1111",TH!L163="1111")),TH!E163,""),"")</f>
        <v/>
      </c>
      <c r="B163" s="73">
        <f t="shared" si="16"/>
        <v>2014</v>
      </c>
      <c r="C163" s="73">
        <f t="shared" si="17"/>
        <v>10</v>
      </c>
      <c r="D163" s="74">
        <v>41928</v>
      </c>
      <c r="E163" s="74" t="s">
        <v>8</v>
      </c>
      <c r="F163" s="74">
        <v>41928</v>
      </c>
      <c r="G163" s="77" t="s">
        <v>21</v>
      </c>
      <c r="H163" s="180"/>
      <c r="I163" s="9"/>
      <c r="J163" s="75">
        <v>97147</v>
      </c>
      <c r="K163" s="76" t="s">
        <v>159</v>
      </c>
      <c r="L163" s="76" t="s">
        <v>34</v>
      </c>
      <c r="M163" s="103" t="str">
        <f>IF(AND('331-CT'!$E$7=TH!I163,OR(K163="331",L163="331")),"x","")</f>
        <v/>
      </c>
      <c r="N163" s="103" t="str">
        <f>IF(AND($C163&gt;='1111'!$N$10,$C163&lt;='1111'!$O$10,OR($K163=$N$7,$L163=$N$7)),"x","")</f>
        <v/>
      </c>
      <c r="O163" s="103" t="str">
        <f>IF(AND($K163=$N$7,$C163&lt;'1111'!$N$10),"x","")</f>
        <v/>
      </c>
      <c r="P163" s="103" t="str">
        <f>IF(AND($L163=$N$7,$C163&lt;'1111'!$N$10),"x","")</f>
        <v/>
      </c>
      <c r="Q163" s="103" t="str">
        <f>IF(AND($C163&gt;='1121'!$N$9,$C163&lt;='1121'!$O$9,OR($K163=$Q$7,$L163=$Q$7)),"x","")</f>
        <v>x</v>
      </c>
      <c r="R163" s="103" t="str">
        <f>IF(AND($K163=$Q$7,$C163&lt;'1121'!$N$9),"x","")</f>
        <v/>
      </c>
      <c r="S163" s="103" t="str">
        <f>IF(AND($L163=$Q$7,$C163&lt;'1121'!$N$9),"x","")</f>
        <v/>
      </c>
      <c r="T163" s="103" t="str">
        <f>IF(AND($C163&gt;='1331'!$I$9,$C163&lt;='1331'!$J$9,OR($K163=$T$7,$L163=$T$7)),"x","")</f>
        <v/>
      </c>
      <c r="U163" s="103" t="str">
        <f>IF(AND($K163=$T$7,$C163&lt;'1331'!$I$9),"x","")</f>
        <v/>
      </c>
      <c r="V163" s="103" t="str">
        <f>IF(AND($L163=$T$7,$C163&lt;'1331'!$I$9),"x","")</f>
        <v/>
      </c>
      <c r="W163" s="103" t="str">
        <f>IF(AND('3411-CT'!$E$9=TH!I163,OR(TH!K163=TH!$W$7,L163=TH!$W$7)),"x","")</f>
        <v/>
      </c>
      <c r="X163" s="103" t="str">
        <f>IF(OR(TH!K163=TH!$X$7,L163=TH!$X$7),"x","")</f>
        <v/>
      </c>
    </row>
    <row r="164" spans="1:24" s="88" customFormat="1">
      <c r="A164" s="178" t="str">
        <f>IF(E164&lt;&gt;"",IF(AND(B164='IN - TC'!$Q$4,OR(TH!K164="1111",TH!L164="1111")),TH!E164,""),"")</f>
        <v/>
      </c>
      <c r="B164" s="73">
        <f t="shared" si="16"/>
        <v>2014</v>
      </c>
      <c r="C164" s="73">
        <f t="shared" si="17"/>
        <v>10</v>
      </c>
      <c r="D164" s="74">
        <v>41928</v>
      </c>
      <c r="E164" s="74" t="s">
        <v>8</v>
      </c>
      <c r="F164" s="74">
        <v>41928</v>
      </c>
      <c r="G164" s="77" t="s">
        <v>22</v>
      </c>
      <c r="H164" s="180"/>
      <c r="I164" s="91"/>
      <c r="J164" s="75">
        <v>9715</v>
      </c>
      <c r="K164" s="76" t="s">
        <v>10</v>
      </c>
      <c r="L164" s="76" t="s">
        <v>34</v>
      </c>
      <c r="M164" s="103" t="str">
        <f>IF(AND('331-CT'!$E$7=TH!I164,OR(K164="331",L164="331")),"x","")</f>
        <v/>
      </c>
      <c r="N164" s="103" t="str">
        <f>IF(AND($C164&gt;='1111'!$N$10,$C164&lt;='1111'!$O$10,OR($K164=$N$7,$L164=$N$7)),"x","")</f>
        <v/>
      </c>
      <c r="O164" s="103" t="str">
        <f>IF(AND($K164=$N$7,$C164&lt;'1111'!$N$10),"x","")</f>
        <v/>
      </c>
      <c r="P164" s="103" t="str">
        <f>IF(AND($L164=$N$7,$C164&lt;'1111'!$N$10),"x","")</f>
        <v/>
      </c>
      <c r="Q164" s="103" t="str">
        <f>IF(AND($C164&gt;='1121'!$N$9,$C164&lt;='1121'!$O$9,OR($K164=$Q$7,$L164=$Q$7)),"x","")</f>
        <v>x</v>
      </c>
      <c r="R164" s="103" t="str">
        <f>IF(AND($K164=$Q$7,$C164&lt;'1121'!$N$9),"x","")</f>
        <v/>
      </c>
      <c r="S164" s="103" t="str">
        <f>IF(AND($L164=$Q$7,$C164&lt;'1121'!$N$9),"x","")</f>
        <v/>
      </c>
      <c r="T164" s="103" t="str">
        <f>IF(AND($C164&gt;='1331'!$I$9,$C164&lt;='1331'!$J$9,OR($K164=$T$7,$L164=$T$7)),"x","")</f>
        <v/>
      </c>
      <c r="U164" s="103" t="str">
        <f>IF(AND($K164=$T$7,$C164&lt;'1331'!$I$9),"x","")</f>
        <v/>
      </c>
      <c r="V164" s="103" t="str">
        <f>IF(AND($L164=$T$7,$C164&lt;'1331'!$I$9),"x","")</f>
        <v/>
      </c>
      <c r="W164" s="103" t="str">
        <f>IF(AND('3411-CT'!$E$9=TH!I164,OR(TH!K164=TH!$W$7,L164=TH!$W$7)),"x","")</f>
        <v/>
      </c>
      <c r="X164" s="103" t="str">
        <f>IF(OR(TH!K164=TH!$X$7,L164=TH!$X$7),"x","")</f>
        <v/>
      </c>
    </row>
    <row r="165" spans="1:24" s="88" customFormat="1">
      <c r="A165" s="178" t="str">
        <f>IF(E165&lt;&gt;"",IF(AND(B165='IN - TC'!$Q$4,OR(TH!K165="1111",TH!L165="1111")),TH!E165,""),"")</f>
        <v>C16</v>
      </c>
      <c r="B165" s="73">
        <f t="shared" si="16"/>
        <v>2014</v>
      </c>
      <c r="C165" s="73">
        <f t="shared" si="17"/>
        <v>10</v>
      </c>
      <c r="D165" s="74">
        <v>41929</v>
      </c>
      <c r="E165" s="74" t="s">
        <v>97</v>
      </c>
      <c r="F165" s="74">
        <v>41929</v>
      </c>
      <c r="G165" s="77" t="s">
        <v>223</v>
      </c>
      <c r="H165" s="180"/>
      <c r="I165" s="91" t="s">
        <v>184</v>
      </c>
      <c r="J165" s="75">
        <v>25000000</v>
      </c>
      <c r="K165" s="76" t="s">
        <v>23</v>
      </c>
      <c r="L165" s="76" t="s">
        <v>120</v>
      </c>
      <c r="M165" s="103" t="str">
        <f>IF(AND('331-CT'!$E$7=TH!I165,OR(K165="331",L165="331")),"x","")</f>
        <v/>
      </c>
      <c r="N165" s="103" t="str">
        <f>IF(AND($C165&gt;='1111'!$N$10,$C165&lt;='1111'!$O$10,OR($K165=$N$7,$L165=$N$7)),"x","")</f>
        <v>x</v>
      </c>
      <c r="O165" s="103" t="str">
        <f>IF(AND($K165=$N$7,$C165&lt;'1111'!$N$10),"x","")</f>
        <v/>
      </c>
      <c r="P165" s="103" t="str">
        <f>IF(AND($L165=$N$7,$C165&lt;'1111'!$N$10),"x","")</f>
        <v/>
      </c>
      <c r="Q165" s="103" t="str">
        <f>IF(AND($C165&gt;='1121'!$N$9,$C165&lt;='1121'!$O$9,OR($K165=$Q$7,$L165=$Q$7)),"x","")</f>
        <v/>
      </c>
      <c r="R165" s="103" t="str">
        <f>IF(AND($K165=$Q$7,$C165&lt;'1121'!$N$9),"x","")</f>
        <v/>
      </c>
      <c r="S165" s="103" t="str">
        <f>IF(AND($L165=$Q$7,$C165&lt;'1121'!$N$9),"x","")</f>
        <v/>
      </c>
      <c r="T165" s="103" t="str">
        <f>IF(AND($C165&gt;='1331'!$I$9,$C165&lt;='1331'!$J$9,OR($K165=$T$7,$L165=$T$7)),"x","")</f>
        <v/>
      </c>
      <c r="U165" s="103" t="str">
        <f>IF(AND($K165=$T$7,$C165&lt;'1331'!$I$9),"x","")</f>
        <v/>
      </c>
      <c r="V165" s="103" t="str">
        <f>IF(AND($L165=$T$7,$C165&lt;'1331'!$I$9),"x","")</f>
        <v/>
      </c>
      <c r="W165" s="103" t="str">
        <f>IF(AND('3411-CT'!$E$9=TH!I165,OR(TH!K165=TH!$W$7,L165=TH!$W$7)),"x","")</f>
        <v/>
      </c>
      <c r="X165" s="103" t="str">
        <f>IF(OR(TH!K165=TH!$X$7,L165=TH!$X$7),"x","")</f>
        <v/>
      </c>
    </row>
    <row r="166" spans="1:24" s="88" customFormat="1">
      <c r="A166" s="178" t="str">
        <f>IF(E166&lt;&gt;"",IF(AND(B166='IN - TC'!$Q$4,OR(TH!K166="1111",TH!L166="1111")),TH!E166,""),"")</f>
        <v/>
      </c>
      <c r="B166" s="73">
        <f t="shared" si="16"/>
        <v>2014</v>
      </c>
      <c r="C166" s="73">
        <f t="shared" si="17"/>
        <v>10</v>
      </c>
      <c r="D166" s="74">
        <v>41929</v>
      </c>
      <c r="E166" s="74" t="s">
        <v>11</v>
      </c>
      <c r="F166" s="74">
        <v>41929</v>
      </c>
      <c r="G166" s="77" t="s">
        <v>27</v>
      </c>
      <c r="H166" s="180"/>
      <c r="I166" s="91" t="s">
        <v>184</v>
      </c>
      <c r="J166" s="75">
        <v>25000000</v>
      </c>
      <c r="K166" s="76" t="s">
        <v>34</v>
      </c>
      <c r="L166" s="76" t="s">
        <v>23</v>
      </c>
      <c r="M166" s="103" t="str">
        <f>IF(AND('331-CT'!$E$7=TH!I166,OR(K166="331",L166="331")),"x","")</f>
        <v/>
      </c>
      <c r="N166" s="103" t="str">
        <f>IF(AND($C166&gt;='1111'!$N$10,$C166&lt;='1111'!$O$10,OR($K166=$N$7,$L166=$N$7)),"x","")</f>
        <v/>
      </c>
      <c r="O166" s="103" t="str">
        <f>IF(AND($K166=$N$7,$C166&lt;'1111'!$N$10),"x","")</f>
        <v/>
      </c>
      <c r="P166" s="103" t="str">
        <f>IF(AND($L166=$N$7,$C166&lt;'1111'!$N$10),"x","")</f>
        <v/>
      </c>
      <c r="Q166" s="103" t="str">
        <f>IF(AND($C166&gt;='1121'!$N$9,$C166&lt;='1121'!$O$9,OR($K166=$Q$7,$L166=$Q$7)),"x","")</f>
        <v>x</v>
      </c>
      <c r="R166" s="103" t="str">
        <f>IF(AND($K166=$Q$7,$C166&lt;'1121'!$N$9),"x","")</f>
        <v/>
      </c>
      <c r="S166" s="103" t="str">
        <f>IF(AND($L166=$Q$7,$C166&lt;'1121'!$N$9),"x","")</f>
        <v/>
      </c>
      <c r="T166" s="103" t="str">
        <f>IF(AND($C166&gt;='1331'!$I$9,$C166&lt;='1331'!$J$9,OR($K166=$T$7,$L166=$T$7)),"x","")</f>
        <v/>
      </c>
      <c r="U166" s="103" t="str">
        <f>IF(AND($K166=$T$7,$C166&lt;'1331'!$I$9),"x","")</f>
        <v/>
      </c>
      <c r="V166" s="103" t="str">
        <f>IF(AND($L166=$T$7,$C166&lt;'1331'!$I$9),"x","")</f>
        <v/>
      </c>
      <c r="W166" s="103" t="str">
        <f>IF(AND('3411-CT'!$E$9=TH!I166,OR(TH!K166=TH!$W$7,L166=TH!$W$7)),"x","")</f>
        <v/>
      </c>
      <c r="X166" s="103" t="str">
        <f>IF(OR(TH!K166=TH!$X$7,L166=TH!$X$7),"x","")</f>
        <v/>
      </c>
    </row>
    <row r="167" spans="1:24" s="88" customFormat="1">
      <c r="A167" s="178" t="str">
        <f>IF(E167&lt;&gt;"",IF(AND(B167='IN - TC'!$Q$4,OR(TH!K167="1111",TH!L167="1111")),TH!E167,""),"")</f>
        <v/>
      </c>
      <c r="B167" s="73">
        <f t="shared" si="16"/>
        <v>2014</v>
      </c>
      <c r="C167" s="73">
        <f t="shared" si="17"/>
        <v>10</v>
      </c>
      <c r="D167" s="74">
        <v>41932</v>
      </c>
      <c r="E167" s="74" t="s">
        <v>8</v>
      </c>
      <c r="F167" s="74">
        <v>41932</v>
      </c>
      <c r="G167" s="77" t="s">
        <v>77</v>
      </c>
      <c r="H167" s="180"/>
      <c r="I167" s="91" t="s">
        <v>193</v>
      </c>
      <c r="J167" s="75">
        <v>8333333</v>
      </c>
      <c r="K167" s="76" t="s">
        <v>157</v>
      </c>
      <c r="L167" s="76" t="s">
        <v>34</v>
      </c>
      <c r="M167" s="103" t="str">
        <f>IF(AND('331-CT'!$E$7=TH!I167,OR(K167="331",L167="331")),"x","")</f>
        <v/>
      </c>
      <c r="N167" s="103" t="str">
        <f>IF(AND($C167&gt;='1111'!$N$10,$C167&lt;='1111'!$O$10,OR($K167=$N$7,$L167=$N$7)),"x","")</f>
        <v/>
      </c>
      <c r="O167" s="103" t="str">
        <f>IF(AND($K167=$N$7,$C167&lt;'1111'!$N$10),"x","")</f>
        <v/>
      </c>
      <c r="P167" s="103" t="str">
        <f>IF(AND($L167=$N$7,$C167&lt;'1111'!$N$10),"x","")</f>
        <v/>
      </c>
      <c r="Q167" s="103" t="str">
        <f>IF(AND($C167&gt;='1121'!$N$9,$C167&lt;='1121'!$O$9,OR($K167=$Q$7,$L167=$Q$7)),"x","")</f>
        <v>x</v>
      </c>
      <c r="R167" s="103" t="str">
        <f>IF(AND($K167=$Q$7,$C167&lt;'1121'!$N$9),"x","")</f>
        <v/>
      </c>
      <c r="S167" s="103" t="str">
        <f>IF(AND($L167=$Q$7,$C167&lt;'1121'!$N$9),"x","")</f>
        <v/>
      </c>
      <c r="T167" s="103" t="str">
        <f>IF(AND($C167&gt;='1331'!$I$9,$C167&lt;='1331'!$J$9,OR($K167=$T$7,$L167=$T$7)),"x","")</f>
        <v/>
      </c>
      <c r="U167" s="103" t="str">
        <f>IF(AND($K167=$T$7,$C167&lt;'1331'!$I$9),"x","")</f>
        <v/>
      </c>
      <c r="V167" s="103" t="str">
        <f>IF(AND($L167=$T$7,$C167&lt;'1331'!$I$9),"x","")</f>
        <v/>
      </c>
      <c r="W167" s="103" t="str">
        <f>IF(AND('3411-CT'!$E$9=TH!I167,OR(TH!K167=TH!$W$7,L167=TH!$W$7)),"x","")</f>
        <v/>
      </c>
      <c r="X167" s="103" t="str">
        <f>IF(OR(TH!K167=TH!$X$7,L167=TH!$X$7),"x","")</f>
        <v/>
      </c>
    </row>
    <row r="168" spans="1:24" s="88" customFormat="1">
      <c r="A168" s="178" t="str">
        <f>IF(E168&lt;&gt;"",IF(AND(B168='IN - TC'!$Q$4,OR(TH!K168="1111",TH!L168="1111")),TH!E168,""),"")</f>
        <v/>
      </c>
      <c r="B168" s="73">
        <f t="shared" si="16"/>
        <v>2014</v>
      </c>
      <c r="C168" s="73">
        <f t="shared" si="17"/>
        <v>10</v>
      </c>
      <c r="D168" s="74">
        <v>41933</v>
      </c>
      <c r="E168" s="74" t="s">
        <v>49</v>
      </c>
      <c r="F168" s="74">
        <v>41933</v>
      </c>
      <c r="G168" s="77" t="s">
        <v>380</v>
      </c>
      <c r="H168" s="180" t="s">
        <v>381</v>
      </c>
      <c r="I168" s="91" t="s">
        <v>59</v>
      </c>
      <c r="J168" s="75">
        <v>262727273</v>
      </c>
      <c r="K168" s="76" t="s">
        <v>248</v>
      </c>
      <c r="L168" s="76" t="s">
        <v>9</v>
      </c>
      <c r="M168" s="103" t="str">
        <f>IF(AND('331-CT'!$E$7=TH!I168,OR(K168="331",L168="331")),"x","")</f>
        <v/>
      </c>
      <c r="N168" s="103" t="str">
        <f>IF(AND($C168&gt;='1111'!$N$10,$C168&lt;='1111'!$O$10,OR($K168=$N$7,$L168=$N$7)),"x","")</f>
        <v/>
      </c>
      <c r="O168" s="103" t="str">
        <f>IF(AND($K168=$N$7,$C168&lt;'1111'!$N$10),"x","")</f>
        <v/>
      </c>
      <c r="P168" s="103" t="str">
        <f>IF(AND($L168=$N$7,$C168&lt;'1111'!$N$10),"x","")</f>
        <v/>
      </c>
      <c r="Q168" s="103" t="str">
        <f>IF(AND($C168&gt;='1121'!$N$9,$C168&lt;='1121'!$O$9,OR($K168=$Q$7,$L168=$Q$7)),"x","")</f>
        <v/>
      </c>
      <c r="R168" s="103" t="str">
        <f>IF(AND($K168=$Q$7,$C168&lt;'1121'!$N$9),"x","")</f>
        <v/>
      </c>
      <c r="S168" s="103" t="str">
        <f>IF(AND($L168=$Q$7,$C168&lt;'1121'!$N$9),"x","")</f>
        <v/>
      </c>
      <c r="T168" s="103" t="str">
        <f>IF(AND($C168&gt;='1331'!$I$9,$C168&lt;='1331'!$J$9,OR($K168=$T$7,$L168=$T$7)),"x","")</f>
        <v/>
      </c>
      <c r="U168" s="103" t="str">
        <f>IF(AND($K168=$T$7,$C168&lt;'1331'!$I$9),"x","")</f>
        <v/>
      </c>
      <c r="V168" s="103" t="str">
        <f>IF(AND($L168=$T$7,$C168&lt;'1331'!$I$9),"x","")</f>
        <v/>
      </c>
      <c r="W168" s="103" t="str">
        <f>IF(AND('3411-CT'!$E$9=TH!I168,OR(TH!K168=TH!$W$7,L168=TH!$W$7)),"x","")</f>
        <v/>
      </c>
      <c r="X168" s="103" t="str">
        <f>IF(OR(TH!K168=TH!$X$7,L168=TH!$X$7),"x","")</f>
        <v/>
      </c>
    </row>
    <row r="169" spans="1:24" s="88" customFormat="1">
      <c r="A169" s="178" t="str">
        <f>IF(E169&lt;&gt;"",IF(AND(B169='IN - TC'!$Q$4,OR(TH!K169="1111",TH!L169="1111")),TH!E169,""),"")</f>
        <v/>
      </c>
      <c r="B169" s="73">
        <f t="shared" si="16"/>
        <v>2014</v>
      </c>
      <c r="C169" s="73">
        <f t="shared" si="17"/>
        <v>10</v>
      </c>
      <c r="D169" s="74">
        <v>41933</v>
      </c>
      <c r="E169" s="74" t="s">
        <v>49</v>
      </c>
      <c r="F169" s="74">
        <v>41933</v>
      </c>
      <c r="G169" s="77" t="s">
        <v>382</v>
      </c>
      <c r="H169" s="180" t="s">
        <v>381</v>
      </c>
      <c r="I169" s="9" t="s">
        <v>59</v>
      </c>
      <c r="J169" s="75">
        <v>26272727</v>
      </c>
      <c r="K169" s="76" t="s">
        <v>10</v>
      </c>
      <c r="L169" s="76" t="s">
        <v>9</v>
      </c>
      <c r="M169" s="103" t="str">
        <f>IF(AND('331-CT'!$E$7=TH!I169,OR(K169="331",L169="331")),"x","")</f>
        <v/>
      </c>
      <c r="N169" s="103" t="str">
        <f>IF(AND($C169&gt;='1111'!$N$10,$C169&lt;='1111'!$O$10,OR($K169=$N$7,$L169=$N$7)),"x","")</f>
        <v/>
      </c>
      <c r="O169" s="103" t="str">
        <f>IF(AND($K169=$N$7,$C169&lt;'1111'!$N$10),"x","")</f>
        <v/>
      </c>
      <c r="P169" s="103" t="str">
        <f>IF(AND($L169=$N$7,$C169&lt;'1111'!$N$10),"x","")</f>
        <v/>
      </c>
      <c r="Q169" s="103" t="str">
        <f>IF(AND($C169&gt;='1121'!$N$9,$C169&lt;='1121'!$O$9,OR($K169=$Q$7,$L169=$Q$7)),"x","")</f>
        <v/>
      </c>
      <c r="R169" s="103" t="str">
        <f>IF(AND($K169=$Q$7,$C169&lt;'1121'!$N$9),"x","")</f>
        <v/>
      </c>
      <c r="S169" s="103" t="str">
        <f>IF(AND($L169=$Q$7,$C169&lt;'1121'!$N$9),"x","")</f>
        <v/>
      </c>
      <c r="T169" s="103" t="str">
        <f>IF(AND($C169&gt;='1331'!$I$9,$C169&lt;='1331'!$J$9,OR($K169=$T$7,$L169=$T$7)),"x","")</f>
        <v/>
      </c>
      <c r="U169" s="103" t="str">
        <f>IF(AND($K169=$T$7,$C169&lt;'1331'!$I$9),"x","")</f>
        <v/>
      </c>
      <c r="V169" s="103" t="str">
        <f>IF(AND($L169=$T$7,$C169&lt;'1331'!$I$9),"x","")</f>
        <v/>
      </c>
      <c r="W169" s="103" t="str">
        <f>IF(AND('3411-CT'!$E$9=TH!I169,OR(TH!K169=TH!$W$7,L169=TH!$W$7)),"x","")</f>
        <v/>
      </c>
      <c r="X169" s="103" t="str">
        <f>IF(OR(TH!K169=TH!$X$7,L169=TH!$X$7),"x","")</f>
        <v/>
      </c>
    </row>
    <row r="170" spans="1:24" s="88" customFormat="1">
      <c r="A170" s="178" t="str">
        <f>IF(E170&lt;&gt;"",IF(AND(B170='IN - TC'!$Q$4,OR(TH!K170="1111",TH!L170="1111")),TH!E170,""),"")</f>
        <v/>
      </c>
      <c r="B170" s="73">
        <f t="shared" si="16"/>
        <v>2014</v>
      </c>
      <c r="C170" s="73">
        <f t="shared" si="17"/>
        <v>10</v>
      </c>
      <c r="D170" s="74">
        <v>41934</v>
      </c>
      <c r="E170" s="74" t="s">
        <v>49</v>
      </c>
      <c r="F170" s="74">
        <v>41934</v>
      </c>
      <c r="G170" s="77" t="s">
        <v>383</v>
      </c>
      <c r="H170" s="180" t="s">
        <v>384</v>
      </c>
      <c r="I170" s="91" t="s">
        <v>54</v>
      </c>
      <c r="J170" s="75">
        <v>31280000</v>
      </c>
      <c r="K170" s="76" t="s">
        <v>159</v>
      </c>
      <c r="L170" s="76" t="s">
        <v>9</v>
      </c>
      <c r="M170" s="103" t="str">
        <f>IF(AND('331-CT'!$E$7=TH!I170,OR(K170="331",L170="331")),"x","")</f>
        <v/>
      </c>
      <c r="N170" s="103" t="str">
        <f>IF(AND($C170&gt;='1111'!$N$10,$C170&lt;='1111'!$O$10,OR($K170=$N$7,$L170=$N$7)),"x","")</f>
        <v/>
      </c>
      <c r="O170" s="103" t="str">
        <f>IF(AND($K170=$N$7,$C170&lt;'1111'!$N$10),"x","")</f>
        <v/>
      </c>
      <c r="P170" s="103" t="str">
        <f>IF(AND($L170=$N$7,$C170&lt;'1111'!$N$10),"x","")</f>
        <v/>
      </c>
      <c r="Q170" s="103" t="str">
        <f>IF(AND($C170&gt;='1121'!$N$9,$C170&lt;='1121'!$O$9,OR($K170=$Q$7,$L170=$Q$7)),"x","")</f>
        <v/>
      </c>
      <c r="R170" s="103" t="str">
        <f>IF(AND($K170=$Q$7,$C170&lt;'1121'!$N$9),"x","")</f>
        <v/>
      </c>
      <c r="S170" s="103" t="str">
        <f>IF(AND($L170=$Q$7,$C170&lt;'1121'!$N$9),"x","")</f>
        <v/>
      </c>
      <c r="T170" s="103" t="str">
        <f>IF(AND($C170&gt;='1331'!$I$9,$C170&lt;='1331'!$J$9,OR($K170=$T$7,$L170=$T$7)),"x","")</f>
        <v/>
      </c>
      <c r="U170" s="103" t="str">
        <f>IF(AND($K170=$T$7,$C170&lt;'1331'!$I$9),"x","")</f>
        <v/>
      </c>
      <c r="V170" s="103" t="str">
        <f>IF(AND($L170=$T$7,$C170&lt;'1331'!$I$9),"x","")</f>
        <v/>
      </c>
      <c r="W170" s="103" t="str">
        <f>IF(AND('3411-CT'!$E$9=TH!I170,OR(TH!K170=TH!$W$7,L170=TH!$W$7)),"x","")</f>
        <v/>
      </c>
      <c r="X170" s="103" t="str">
        <f>IF(OR(TH!K170=TH!$X$7,L170=TH!$X$7),"x","")</f>
        <v/>
      </c>
    </row>
    <row r="171" spans="1:24" s="88" customFormat="1">
      <c r="A171" s="178" t="str">
        <f>IF(E171&lt;&gt;"",IF(AND(B171='IN - TC'!$Q$4,OR(TH!K171="1111",TH!L171="1111")),TH!E171,""),"")</f>
        <v/>
      </c>
      <c r="B171" s="73">
        <f t="shared" si="16"/>
        <v>2014</v>
      </c>
      <c r="C171" s="73">
        <f t="shared" si="17"/>
        <v>10</v>
      </c>
      <c r="D171" s="74">
        <v>41934</v>
      </c>
      <c r="E171" s="74" t="s">
        <v>49</v>
      </c>
      <c r="F171" s="74">
        <v>41934</v>
      </c>
      <c r="G171" s="77" t="s">
        <v>351</v>
      </c>
      <c r="H171" s="180" t="s">
        <v>384</v>
      </c>
      <c r="I171" s="91" t="s">
        <v>54</v>
      </c>
      <c r="J171" s="75">
        <v>3128000</v>
      </c>
      <c r="K171" s="76" t="s">
        <v>10</v>
      </c>
      <c r="L171" s="76" t="s">
        <v>9</v>
      </c>
      <c r="M171" s="103" t="str">
        <f>IF(AND('331-CT'!$E$7=TH!I171,OR(K171="331",L171="331")),"x","")</f>
        <v/>
      </c>
      <c r="N171" s="103" t="str">
        <f>IF(AND($C171&gt;='1111'!$N$10,$C171&lt;='1111'!$O$10,OR($K171=$N$7,$L171=$N$7)),"x","")</f>
        <v/>
      </c>
      <c r="O171" s="103" t="str">
        <f>IF(AND($K171=$N$7,$C171&lt;'1111'!$N$10),"x","")</f>
        <v/>
      </c>
      <c r="P171" s="103" t="str">
        <f>IF(AND($L171=$N$7,$C171&lt;'1111'!$N$10),"x","")</f>
        <v/>
      </c>
      <c r="Q171" s="103" t="str">
        <f>IF(AND($C171&gt;='1121'!$N$9,$C171&lt;='1121'!$O$9,OR($K171=$Q$7,$L171=$Q$7)),"x","")</f>
        <v/>
      </c>
      <c r="R171" s="103" t="str">
        <f>IF(AND($K171=$Q$7,$C171&lt;'1121'!$N$9),"x","")</f>
        <v/>
      </c>
      <c r="S171" s="103" t="str">
        <f>IF(AND($L171=$Q$7,$C171&lt;'1121'!$N$9),"x","")</f>
        <v/>
      </c>
      <c r="T171" s="103" t="str">
        <f>IF(AND($C171&gt;='1331'!$I$9,$C171&lt;='1331'!$J$9,OR($K171=$T$7,$L171=$T$7)),"x","")</f>
        <v/>
      </c>
      <c r="U171" s="103" t="str">
        <f>IF(AND($K171=$T$7,$C171&lt;'1331'!$I$9),"x","")</f>
        <v/>
      </c>
      <c r="V171" s="103" t="str">
        <f>IF(AND($L171=$T$7,$C171&lt;'1331'!$I$9),"x","")</f>
        <v/>
      </c>
      <c r="W171" s="103" t="str">
        <f>IF(AND('3411-CT'!$E$9=TH!I171,OR(TH!K171=TH!$W$7,L171=TH!$W$7)),"x","")</f>
        <v/>
      </c>
      <c r="X171" s="103" t="str">
        <f>IF(OR(TH!K171=TH!$X$7,L171=TH!$X$7),"x","")</f>
        <v/>
      </c>
    </row>
    <row r="172" spans="1:24" s="88" customFormat="1">
      <c r="A172" s="178" t="str">
        <f>IF(E172&lt;&gt;"",IF(AND(B172='IN - TC'!$Q$4,OR(TH!K172="1111",TH!L172="1111")),TH!E172,""),"")</f>
        <v/>
      </c>
      <c r="B172" s="73">
        <f t="shared" si="16"/>
        <v>2014</v>
      </c>
      <c r="C172" s="73">
        <f t="shared" si="17"/>
        <v>10</v>
      </c>
      <c r="D172" s="74">
        <v>41934</v>
      </c>
      <c r="E172" s="74" t="s">
        <v>11</v>
      </c>
      <c r="F172" s="74">
        <v>41934</v>
      </c>
      <c r="G172" s="77" t="s">
        <v>385</v>
      </c>
      <c r="H172" s="180"/>
      <c r="I172" s="9" t="s">
        <v>196</v>
      </c>
      <c r="J172" s="75">
        <v>1600000000</v>
      </c>
      <c r="K172" s="76" t="s">
        <v>34</v>
      </c>
      <c r="L172" s="76" t="s">
        <v>144</v>
      </c>
      <c r="M172" s="103" t="str">
        <f>IF(AND('331-CT'!$E$7=TH!I172,OR(K172="331",L172="331")),"x","")</f>
        <v/>
      </c>
      <c r="N172" s="103" t="str">
        <f>IF(AND($C172&gt;='1111'!$N$10,$C172&lt;='1111'!$O$10,OR($K172=$N$7,$L172=$N$7)),"x","")</f>
        <v/>
      </c>
      <c r="O172" s="103" t="str">
        <f>IF(AND($K172=$N$7,$C172&lt;'1111'!$N$10),"x","")</f>
        <v/>
      </c>
      <c r="P172" s="103" t="str">
        <f>IF(AND($L172=$N$7,$C172&lt;'1111'!$N$10),"x","")</f>
        <v/>
      </c>
      <c r="Q172" s="103" t="str">
        <f>IF(AND($C172&gt;='1121'!$N$9,$C172&lt;='1121'!$O$9,OR($K172=$Q$7,$L172=$Q$7)),"x","")</f>
        <v>x</v>
      </c>
      <c r="R172" s="103" t="str">
        <f>IF(AND($K172=$Q$7,$C172&lt;'1121'!$N$9),"x","")</f>
        <v/>
      </c>
      <c r="S172" s="103" t="str">
        <f>IF(AND($L172=$Q$7,$C172&lt;'1121'!$N$9),"x","")</f>
        <v/>
      </c>
      <c r="T172" s="103" t="str">
        <f>IF(AND($C172&gt;='1331'!$I$9,$C172&lt;='1331'!$J$9,OR($K172=$T$7,$L172=$T$7)),"x","")</f>
        <v/>
      </c>
      <c r="U172" s="103" t="str">
        <f>IF(AND($K172=$T$7,$C172&lt;'1331'!$I$9),"x","")</f>
        <v/>
      </c>
      <c r="V172" s="103" t="str">
        <f>IF(AND($L172=$T$7,$C172&lt;'1331'!$I$9),"x","")</f>
        <v/>
      </c>
      <c r="W172" s="103" t="str">
        <f>IF(AND('3411-CT'!$E$9=TH!I172,OR(TH!K172=TH!$W$7,L172=TH!$W$7)),"x","")</f>
        <v/>
      </c>
      <c r="X172" s="103" t="str">
        <f>IF(OR(TH!K172=TH!$X$7,L172=TH!$X$7),"x","")</f>
        <v/>
      </c>
    </row>
    <row r="173" spans="1:24" s="88" customFormat="1">
      <c r="A173" s="178" t="str">
        <f>IF(E173&lt;&gt;"",IF(AND(B173='IN - TC'!$Q$4,OR(TH!K173="1111",TH!L173="1111")),TH!E173,""),"")</f>
        <v/>
      </c>
      <c r="B173" s="73">
        <f t="shared" si="16"/>
        <v>2014</v>
      </c>
      <c r="C173" s="73">
        <f t="shared" si="17"/>
        <v>10</v>
      </c>
      <c r="D173" s="74">
        <v>41935</v>
      </c>
      <c r="E173" s="74" t="s">
        <v>8</v>
      </c>
      <c r="F173" s="74">
        <v>41935</v>
      </c>
      <c r="G173" s="77" t="s">
        <v>372</v>
      </c>
      <c r="H173" s="180"/>
      <c r="I173" s="91" t="s">
        <v>55</v>
      </c>
      <c r="J173" s="75">
        <v>1500000000</v>
      </c>
      <c r="K173" s="76" t="s">
        <v>9</v>
      </c>
      <c r="L173" s="76" t="s">
        <v>34</v>
      </c>
      <c r="M173" s="103" t="str">
        <f>IF(AND('331-CT'!$E$7=TH!I173,OR(K173="331",L173="331")),"x","")</f>
        <v/>
      </c>
      <c r="N173" s="103" t="str">
        <f>IF(AND($C173&gt;='1111'!$N$10,$C173&lt;='1111'!$O$10,OR($K173=$N$7,$L173=$N$7)),"x","")</f>
        <v/>
      </c>
      <c r="O173" s="103" t="str">
        <f>IF(AND($K173=$N$7,$C173&lt;'1111'!$N$10),"x","")</f>
        <v/>
      </c>
      <c r="P173" s="103" t="str">
        <f>IF(AND($L173=$N$7,$C173&lt;'1111'!$N$10),"x","")</f>
        <v/>
      </c>
      <c r="Q173" s="103" t="str">
        <f>IF(AND($C173&gt;='1121'!$N$9,$C173&lt;='1121'!$O$9,OR($K173=$Q$7,$L173=$Q$7)),"x","")</f>
        <v>x</v>
      </c>
      <c r="R173" s="103" t="str">
        <f>IF(AND($K173=$Q$7,$C173&lt;'1121'!$N$9),"x","")</f>
        <v/>
      </c>
      <c r="S173" s="103" t="str">
        <f>IF(AND($L173=$Q$7,$C173&lt;'1121'!$N$9),"x","")</f>
        <v/>
      </c>
      <c r="T173" s="103" t="str">
        <f>IF(AND($C173&gt;='1331'!$I$9,$C173&lt;='1331'!$J$9,OR($K173=$T$7,$L173=$T$7)),"x","")</f>
        <v/>
      </c>
      <c r="U173" s="103" t="str">
        <f>IF(AND($K173=$T$7,$C173&lt;'1331'!$I$9),"x","")</f>
        <v/>
      </c>
      <c r="V173" s="103" t="str">
        <f>IF(AND($L173=$T$7,$C173&lt;'1331'!$I$9),"x","")</f>
        <v/>
      </c>
      <c r="W173" s="103" t="str">
        <f>IF(AND('3411-CT'!$E$9=TH!I173,OR(TH!K173=TH!$W$7,L173=TH!$W$7)),"x","")</f>
        <v/>
      </c>
      <c r="X173" s="103" t="str">
        <f>IF(OR(TH!K173=TH!$X$7,L173=TH!$X$7),"x","")</f>
        <v/>
      </c>
    </row>
    <row r="174" spans="1:24">
      <c r="A174" s="178" t="str">
        <f>IF(E174&lt;&gt;"",IF(AND(B174='IN - TC'!$Q$4,OR(TH!K174="1111",TH!L174="1111")),TH!E174,""),"")</f>
        <v/>
      </c>
      <c r="B174" s="73">
        <f t="shared" si="16"/>
        <v>2014</v>
      </c>
      <c r="C174" s="73">
        <f t="shared" si="17"/>
        <v>10</v>
      </c>
      <c r="D174" s="74">
        <v>41935</v>
      </c>
      <c r="E174" s="74" t="s">
        <v>8</v>
      </c>
      <c r="F174" s="74">
        <v>41935</v>
      </c>
      <c r="G174" s="77" t="s">
        <v>21</v>
      </c>
      <c r="H174" s="180"/>
      <c r="I174" s="91"/>
      <c r="J174" s="75">
        <v>750000</v>
      </c>
      <c r="K174" s="76" t="s">
        <v>159</v>
      </c>
      <c r="L174" s="76" t="s">
        <v>34</v>
      </c>
      <c r="M174" s="103" t="str">
        <f>IF(AND('331-CT'!$E$7=TH!I174,OR(K174="331",L174="331")),"x","")</f>
        <v/>
      </c>
      <c r="N174" s="103" t="str">
        <f>IF(AND($C174&gt;='1111'!$N$10,$C174&lt;='1111'!$O$10,OR($K174=$N$7,$L174=$N$7)),"x","")</f>
        <v/>
      </c>
      <c r="O174" s="103" t="str">
        <f>IF(AND($K174=$N$7,$C174&lt;'1111'!$N$10),"x","")</f>
        <v/>
      </c>
      <c r="P174" s="103" t="str">
        <f>IF(AND($L174=$N$7,$C174&lt;'1111'!$N$10),"x","")</f>
        <v/>
      </c>
      <c r="Q174" s="103" t="str">
        <f>IF(AND($C174&gt;='1121'!$N$9,$C174&lt;='1121'!$O$9,OR($K174=$Q$7,$L174=$Q$7)),"x","")</f>
        <v>x</v>
      </c>
      <c r="R174" s="103" t="str">
        <f>IF(AND($K174=$Q$7,$C174&lt;'1121'!$N$9),"x","")</f>
        <v/>
      </c>
      <c r="S174" s="103" t="str">
        <f>IF(AND($L174=$Q$7,$C174&lt;'1121'!$N$9),"x","")</f>
        <v/>
      </c>
      <c r="T174" s="103" t="str">
        <f>IF(AND($C174&gt;='1331'!$I$9,$C174&lt;='1331'!$J$9,OR($K174=$T$7,$L174=$T$7)),"x","")</f>
        <v/>
      </c>
      <c r="U174" s="103" t="str">
        <f>IF(AND($K174=$T$7,$C174&lt;'1331'!$I$9),"x","")</f>
        <v/>
      </c>
      <c r="V174" s="103" t="str">
        <f>IF(AND($L174=$T$7,$C174&lt;'1331'!$I$9),"x","")</f>
        <v/>
      </c>
      <c r="W174" s="103" t="str">
        <f>IF(AND('3411-CT'!$E$9=TH!I174,OR(TH!K174=TH!$W$7,L174=TH!$W$7)),"x","")</f>
        <v/>
      </c>
      <c r="X174" s="103" t="str">
        <f>IF(OR(TH!K174=TH!$X$7,L174=TH!$X$7),"x","")</f>
        <v/>
      </c>
    </row>
    <row r="175" spans="1:24">
      <c r="A175" s="178" t="str">
        <f>IF(E175&lt;&gt;"",IF(AND(B175='IN - TC'!$Q$4,OR(TH!K175="1111",TH!L175="1111")),TH!E175,""),"")</f>
        <v/>
      </c>
      <c r="B175" s="73">
        <f t="shared" si="16"/>
        <v>2014</v>
      </c>
      <c r="C175" s="73">
        <f t="shared" si="17"/>
        <v>10</v>
      </c>
      <c r="D175" s="74">
        <v>41935</v>
      </c>
      <c r="E175" s="74" t="s">
        <v>8</v>
      </c>
      <c r="F175" s="74">
        <v>41935</v>
      </c>
      <c r="G175" s="77" t="s">
        <v>22</v>
      </c>
      <c r="H175" s="180"/>
      <c r="I175" s="9"/>
      <c r="J175" s="75">
        <v>75000</v>
      </c>
      <c r="K175" s="76" t="s">
        <v>10</v>
      </c>
      <c r="L175" s="76" t="s">
        <v>34</v>
      </c>
      <c r="M175" s="103" t="str">
        <f>IF(AND('331-CT'!$E$7=TH!I175,OR(K175="331",L175="331")),"x","")</f>
        <v/>
      </c>
      <c r="N175" s="103" t="str">
        <f>IF(AND($C175&gt;='1111'!$N$10,$C175&lt;='1111'!$O$10,OR($K175=$N$7,$L175=$N$7)),"x","")</f>
        <v/>
      </c>
      <c r="O175" s="103" t="str">
        <f>IF(AND($K175=$N$7,$C175&lt;'1111'!$N$10),"x","")</f>
        <v/>
      </c>
      <c r="P175" s="103" t="str">
        <f>IF(AND($L175=$N$7,$C175&lt;'1111'!$N$10),"x","")</f>
        <v/>
      </c>
      <c r="Q175" s="103" t="str">
        <f>IF(AND($C175&gt;='1121'!$N$9,$C175&lt;='1121'!$O$9,OR($K175=$Q$7,$L175=$Q$7)),"x","")</f>
        <v>x</v>
      </c>
      <c r="R175" s="103" t="str">
        <f>IF(AND($K175=$Q$7,$C175&lt;'1121'!$N$9),"x","")</f>
        <v/>
      </c>
      <c r="S175" s="103" t="str">
        <f>IF(AND($L175=$Q$7,$C175&lt;'1121'!$N$9),"x","")</f>
        <v/>
      </c>
      <c r="T175" s="103" t="str">
        <f>IF(AND($C175&gt;='1331'!$I$9,$C175&lt;='1331'!$J$9,OR($K175=$T$7,$L175=$T$7)),"x","")</f>
        <v/>
      </c>
      <c r="U175" s="103" t="str">
        <f>IF(AND($K175=$T$7,$C175&lt;'1331'!$I$9),"x","")</f>
        <v/>
      </c>
      <c r="V175" s="103" t="str">
        <f>IF(AND($L175=$T$7,$C175&lt;'1331'!$I$9),"x","")</f>
        <v/>
      </c>
      <c r="W175" s="103" t="str">
        <f>IF(AND('3411-CT'!$E$9=TH!I175,OR(TH!K175=TH!$W$7,L175=TH!$W$7)),"x","")</f>
        <v/>
      </c>
      <c r="X175" s="103" t="str">
        <f>IF(OR(TH!K175=TH!$X$7,L175=TH!$X$7),"x","")</f>
        <v/>
      </c>
    </row>
    <row r="176" spans="1:24">
      <c r="A176" s="178" t="str">
        <f>IF(E176&lt;&gt;"",IF(AND(B176='IN - TC'!$Q$4,OR(TH!K176="1111",TH!L176="1111")),TH!E176,""),"")</f>
        <v/>
      </c>
      <c r="B176" s="73">
        <f t="shared" si="16"/>
        <v>2014</v>
      </c>
      <c r="C176" s="73">
        <f t="shared" si="17"/>
        <v>10</v>
      </c>
      <c r="D176" s="74">
        <v>41936</v>
      </c>
      <c r="E176" s="74" t="s">
        <v>11</v>
      </c>
      <c r="F176" s="74">
        <v>41936</v>
      </c>
      <c r="G176" s="77" t="s">
        <v>66</v>
      </c>
      <c r="H176" s="180"/>
      <c r="I176" s="91"/>
      <c r="J176" s="75">
        <v>322248</v>
      </c>
      <c r="K176" s="76" t="s">
        <v>34</v>
      </c>
      <c r="L176" s="76" t="s">
        <v>67</v>
      </c>
      <c r="M176" s="103" t="str">
        <f>IF(AND('331-CT'!$E$7=TH!I176,OR(K176="331",L176="331")),"x","")</f>
        <v/>
      </c>
      <c r="N176" s="103" t="str">
        <f>IF(AND($C176&gt;='1111'!$N$10,$C176&lt;='1111'!$O$10,OR($K176=$N$7,$L176=$N$7)),"x","")</f>
        <v/>
      </c>
      <c r="O176" s="103" t="str">
        <f>IF(AND($K176=$N$7,$C176&lt;'1111'!$N$10),"x","")</f>
        <v/>
      </c>
      <c r="P176" s="103" t="str">
        <f>IF(AND($L176=$N$7,$C176&lt;'1111'!$N$10),"x","")</f>
        <v/>
      </c>
      <c r="Q176" s="103" t="str">
        <f>IF(AND($C176&gt;='1121'!$N$9,$C176&lt;='1121'!$O$9,OR($K176=$Q$7,$L176=$Q$7)),"x","")</f>
        <v>x</v>
      </c>
      <c r="R176" s="103" t="str">
        <f>IF(AND($K176=$Q$7,$C176&lt;'1121'!$N$9),"x","")</f>
        <v/>
      </c>
      <c r="S176" s="103" t="str">
        <f>IF(AND($L176=$Q$7,$C176&lt;'1121'!$N$9),"x","")</f>
        <v/>
      </c>
      <c r="T176" s="103" t="str">
        <f>IF(AND($C176&gt;='1331'!$I$9,$C176&lt;='1331'!$J$9,OR($K176=$T$7,$L176=$T$7)),"x","")</f>
        <v/>
      </c>
      <c r="U176" s="103" t="str">
        <f>IF(AND($K176=$T$7,$C176&lt;'1331'!$I$9),"x","")</f>
        <v/>
      </c>
      <c r="V176" s="103" t="str">
        <f>IF(AND($L176=$T$7,$C176&lt;'1331'!$I$9),"x","")</f>
        <v/>
      </c>
      <c r="W176" s="103" t="str">
        <f>IF(AND('3411-CT'!$E$9=TH!I176,OR(TH!K176=TH!$W$7,L176=TH!$W$7)),"x","")</f>
        <v/>
      </c>
      <c r="X176" s="103" t="str">
        <f>IF(OR(TH!K176=TH!$X$7,L176=TH!$X$7),"x","")</f>
        <v/>
      </c>
    </row>
    <row r="177" spans="1:24">
      <c r="A177" s="178" t="str">
        <f>IF(E177&lt;&gt;"",IF(AND(B177='IN - TC'!$Q$4,OR(TH!K177="1111",TH!L177="1111")),TH!E177,""),"")</f>
        <v/>
      </c>
      <c r="B177" s="73">
        <f t="shared" si="16"/>
        <v>2014</v>
      </c>
      <c r="C177" s="73">
        <f t="shared" si="17"/>
        <v>10</v>
      </c>
      <c r="D177" s="74">
        <v>41942</v>
      </c>
      <c r="E177" s="74" t="s">
        <v>8</v>
      </c>
      <c r="F177" s="74">
        <v>41942</v>
      </c>
      <c r="G177" s="77" t="s">
        <v>386</v>
      </c>
      <c r="H177" s="180"/>
      <c r="I177" s="91" t="s">
        <v>80</v>
      </c>
      <c r="J177" s="75">
        <v>30800005</v>
      </c>
      <c r="K177" s="76" t="s">
        <v>9</v>
      </c>
      <c r="L177" s="76" t="s">
        <v>34</v>
      </c>
      <c r="M177" s="103" t="str">
        <f>IF(AND('331-CT'!$E$7=TH!I177,OR(K177="331",L177="331")),"x","")</f>
        <v/>
      </c>
      <c r="N177" s="103" t="str">
        <f>IF(AND($C177&gt;='1111'!$N$10,$C177&lt;='1111'!$O$10,OR($K177=$N$7,$L177=$N$7)),"x","")</f>
        <v/>
      </c>
      <c r="O177" s="103" t="str">
        <f>IF(AND($K177=$N$7,$C177&lt;'1111'!$N$10),"x","")</f>
        <v/>
      </c>
      <c r="P177" s="103" t="str">
        <f>IF(AND($L177=$N$7,$C177&lt;'1111'!$N$10),"x","")</f>
        <v/>
      </c>
      <c r="Q177" s="103" t="str">
        <f>IF(AND($C177&gt;='1121'!$N$9,$C177&lt;='1121'!$O$9,OR($K177=$Q$7,$L177=$Q$7)),"x","")</f>
        <v>x</v>
      </c>
      <c r="R177" s="103" t="str">
        <f>IF(AND($K177=$Q$7,$C177&lt;'1121'!$N$9),"x","")</f>
        <v/>
      </c>
      <c r="S177" s="103" t="str">
        <f>IF(AND($L177=$Q$7,$C177&lt;'1121'!$N$9),"x","")</f>
        <v/>
      </c>
      <c r="T177" s="103" t="str">
        <f>IF(AND($C177&gt;='1331'!$I$9,$C177&lt;='1331'!$J$9,OR($K177=$T$7,$L177=$T$7)),"x","")</f>
        <v/>
      </c>
      <c r="U177" s="103" t="str">
        <f>IF(AND($K177=$T$7,$C177&lt;'1331'!$I$9),"x","")</f>
        <v/>
      </c>
      <c r="V177" s="103" t="str">
        <f>IF(AND($L177=$T$7,$C177&lt;'1331'!$I$9),"x","")</f>
        <v/>
      </c>
      <c r="W177" s="103" t="str">
        <f>IF(AND('3411-CT'!$E$9=TH!I177,OR(TH!K177=TH!$W$7,L177=TH!$W$7)),"x","")</f>
        <v/>
      </c>
      <c r="X177" s="103" t="str">
        <f>IF(OR(TH!K177=TH!$X$7,L177=TH!$X$7),"x","")</f>
        <v/>
      </c>
    </row>
    <row r="178" spans="1:24">
      <c r="A178" s="178" t="str">
        <f>IF(E178&lt;&gt;"",IF(AND(B178='IN - TC'!$Q$4,OR(TH!K178="1111",TH!L178="1111")),TH!E178,""),"")</f>
        <v/>
      </c>
      <c r="B178" s="73">
        <f t="shared" si="16"/>
        <v>2014</v>
      </c>
      <c r="C178" s="73">
        <f t="shared" si="17"/>
        <v>10</v>
      </c>
      <c r="D178" s="74">
        <v>41942</v>
      </c>
      <c r="E178" s="74" t="s">
        <v>8</v>
      </c>
      <c r="F178" s="74">
        <v>41942</v>
      </c>
      <c r="G178" s="77" t="s">
        <v>21</v>
      </c>
      <c r="H178" s="180"/>
      <c r="I178" s="9"/>
      <c r="J178" s="75">
        <v>25000</v>
      </c>
      <c r="K178" s="76" t="s">
        <v>159</v>
      </c>
      <c r="L178" s="76" t="s">
        <v>34</v>
      </c>
      <c r="M178" s="103" t="str">
        <f>IF(AND('331-CT'!$E$7=TH!I178,OR(K178="331",L178="331")),"x","")</f>
        <v/>
      </c>
      <c r="N178" s="103" t="str">
        <f>IF(AND($C178&gt;='1111'!$N$10,$C178&lt;='1111'!$O$10,OR($K178=$N$7,$L178=$N$7)),"x","")</f>
        <v/>
      </c>
      <c r="O178" s="103" t="str">
        <f>IF(AND($K178=$N$7,$C178&lt;'1111'!$N$10),"x","")</f>
        <v/>
      </c>
      <c r="P178" s="103" t="str">
        <f>IF(AND($L178=$N$7,$C178&lt;'1111'!$N$10),"x","")</f>
        <v/>
      </c>
      <c r="Q178" s="103" t="str">
        <f>IF(AND($C178&gt;='1121'!$N$9,$C178&lt;='1121'!$O$9,OR($K178=$Q$7,$L178=$Q$7)),"x","")</f>
        <v>x</v>
      </c>
      <c r="R178" s="103" t="str">
        <f>IF(AND($K178=$Q$7,$C178&lt;'1121'!$N$9),"x","")</f>
        <v/>
      </c>
      <c r="S178" s="103" t="str">
        <f>IF(AND($L178=$Q$7,$C178&lt;'1121'!$N$9),"x","")</f>
        <v/>
      </c>
      <c r="T178" s="103" t="str">
        <f>IF(AND($C178&gt;='1331'!$I$9,$C178&lt;='1331'!$J$9,OR($K178=$T$7,$L178=$T$7)),"x","")</f>
        <v/>
      </c>
      <c r="U178" s="103" t="str">
        <f>IF(AND($K178=$T$7,$C178&lt;'1331'!$I$9),"x","")</f>
        <v/>
      </c>
      <c r="V178" s="103" t="str">
        <f>IF(AND($L178=$T$7,$C178&lt;'1331'!$I$9),"x","")</f>
        <v/>
      </c>
      <c r="W178" s="103" t="str">
        <f>IF(AND('3411-CT'!$E$9=TH!I178,OR(TH!K178=TH!$W$7,L178=TH!$W$7)),"x","")</f>
        <v/>
      </c>
      <c r="X178" s="103" t="str">
        <f>IF(OR(TH!K178=TH!$X$7,L178=TH!$X$7),"x","")</f>
        <v/>
      </c>
    </row>
    <row r="179" spans="1:24">
      <c r="A179" s="178" t="str">
        <f>IF(E179&lt;&gt;"",IF(AND(B179='IN - TC'!$Q$4,OR(TH!K179="1111",TH!L179="1111")),TH!E179,""),"")</f>
        <v/>
      </c>
      <c r="B179" s="73">
        <f t="shared" si="16"/>
        <v>2014</v>
      </c>
      <c r="C179" s="73">
        <f t="shared" si="17"/>
        <v>10</v>
      </c>
      <c r="D179" s="74">
        <v>41942</v>
      </c>
      <c r="E179" s="74" t="s">
        <v>8</v>
      </c>
      <c r="F179" s="74">
        <v>41942</v>
      </c>
      <c r="G179" s="77" t="s">
        <v>22</v>
      </c>
      <c r="H179" s="180"/>
      <c r="I179" s="91"/>
      <c r="J179" s="75">
        <v>2500</v>
      </c>
      <c r="K179" s="76" t="s">
        <v>10</v>
      </c>
      <c r="L179" s="76" t="s">
        <v>34</v>
      </c>
      <c r="M179" s="103" t="str">
        <f>IF(AND('331-CT'!$E$7=TH!I179,OR(K179="331",L179="331")),"x","")</f>
        <v/>
      </c>
      <c r="N179" s="103" t="str">
        <f>IF(AND($C179&gt;='1111'!$N$10,$C179&lt;='1111'!$O$10,OR($K179=$N$7,$L179=$N$7)),"x","")</f>
        <v/>
      </c>
      <c r="O179" s="103" t="str">
        <f>IF(AND($K179=$N$7,$C179&lt;'1111'!$N$10),"x","")</f>
        <v/>
      </c>
      <c r="P179" s="103" t="str">
        <f>IF(AND($L179=$N$7,$C179&lt;'1111'!$N$10),"x","")</f>
        <v/>
      </c>
      <c r="Q179" s="103" t="str">
        <f>IF(AND($C179&gt;='1121'!$N$9,$C179&lt;='1121'!$O$9,OR($K179=$Q$7,$L179=$Q$7)),"x","")</f>
        <v>x</v>
      </c>
      <c r="R179" s="103" t="str">
        <f>IF(AND($K179=$Q$7,$C179&lt;'1121'!$N$9),"x","")</f>
        <v/>
      </c>
      <c r="S179" s="103" t="str">
        <f>IF(AND($L179=$Q$7,$C179&lt;'1121'!$N$9),"x","")</f>
        <v/>
      </c>
      <c r="T179" s="103" t="str">
        <f>IF(AND($C179&gt;='1331'!$I$9,$C179&lt;='1331'!$J$9,OR($K179=$T$7,$L179=$T$7)),"x","")</f>
        <v/>
      </c>
      <c r="U179" s="103" t="str">
        <f>IF(AND($K179=$T$7,$C179&lt;'1331'!$I$9),"x","")</f>
        <v/>
      </c>
      <c r="V179" s="103" t="str">
        <f>IF(AND($L179=$T$7,$C179&lt;'1331'!$I$9),"x","")</f>
        <v/>
      </c>
      <c r="W179" s="103" t="str">
        <f>IF(AND('3411-CT'!$E$9=TH!I179,OR(TH!K179=TH!$W$7,L179=TH!$W$7)),"x","")</f>
        <v/>
      </c>
      <c r="X179" s="103" t="str">
        <f>IF(OR(TH!K179=TH!$X$7,L179=TH!$X$7),"x","")</f>
        <v/>
      </c>
    </row>
    <row r="180" spans="1:24">
      <c r="A180" s="178" t="str">
        <f>IF(E180&lt;&gt;"",IF(AND(B180='IN - TC'!$Q$4,OR(TH!K180="1111",TH!L180="1111")),TH!E180,""),"")</f>
        <v/>
      </c>
      <c r="B180" s="73">
        <f t="shared" si="16"/>
        <v>2014</v>
      </c>
      <c r="C180" s="73">
        <f t="shared" si="17"/>
        <v>10</v>
      </c>
      <c r="D180" s="74">
        <v>41942</v>
      </c>
      <c r="E180" s="74" t="s">
        <v>8</v>
      </c>
      <c r="F180" s="74">
        <v>41942</v>
      </c>
      <c r="G180" s="77" t="s">
        <v>354</v>
      </c>
      <c r="H180" s="180"/>
      <c r="I180" s="92" t="s">
        <v>59</v>
      </c>
      <c r="J180" s="75">
        <v>49000000</v>
      </c>
      <c r="K180" s="76" t="s">
        <v>9</v>
      </c>
      <c r="L180" s="76" t="s">
        <v>34</v>
      </c>
      <c r="M180" s="103" t="str">
        <f>IF(AND('331-CT'!$E$7=TH!I180,OR(K180="331",L180="331")),"x","")</f>
        <v/>
      </c>
      <c r="N180" s="103" t="str">
        <f>IF(AND($C180&gt;='1111'!$N$10,$C180&lt;='1111'!$O$10,OR($K180=$N$7,$L180=$N$7)),"x","")</f>
        <v/>
      </c>
      <c r="O180" s="103" t="str">
        <f>IF(AND($K180=$N$7,$C180&lt;'1111'!$N$10),"x","")</f>
        <v/>
      </c>
      <c r="P180" s="103" t="str">
        <f>IF(AND($L180=$N$7,$C180&lt;'1111'!$N$10),"x","")</f>
        <v/>
      </c>
      <c r="Q180" s="103" t="str">
        <f>IF(AND($C180&gt;='1121'!$N$9,$C180&lt;='1121'!$O$9,OR($K180=$Q$7,$L180=$Q$7)),"x","")</f>
        <v>x</v>
      </c>
      <c r="R180" s="103" t="str">
        <f>IF(AND($K180=$Q$7,$C180&lt;'1121'!$N$9),"x","")</f>
        <v/>
      </c>
      <c r="S180" s="103" t="str">
        <f>IF(AND($L180=$Q$7,$C180&lt;'1121'!$N$9),"x","")</f>
        <v/>
      </c>
      <c r="T180" s="103" t="str">
        <f>IF(AND($C180&gt;='1331'!$I$9,$C180&lt;='1331'!$J$9,OR($K180=$T$7,$L180=$T$7)),"x","")</f>
        <v/>
      </c>
      <c r="U180" s="103" t="str">
        <f>IF(AND($K180=$T$7,$C180&lt;'1331'!$I$9),"x","")</f>
        <v/>
      </c>
      <c r="V180" s="103" t="str">
        <f>IF(AND($L180=$T$7,$C180&lt;'1331'!$I$9),"x","")</f>
        <v/>
      </c>
      <c r="W180" s="103" t="str">
        <f>IF(AND('3411-CT'!$E$9=TH!I180,OR(TH!K180=TH!$W$7,L180=TH!$W$7)),"x","")</f>
        <v/>
      </c>
      <c r="X180" s="103" t="str">
        <f>IF(OR(TH!K180=TH!$X$7,L180=TH!$X$7),"x","")</f>
        <v/>
      </c>
    </row>
    <row r="181" spans="1:24">
      <c r="A181" s="178" t="str">
        <f>IF(E181&lt;&gt;"",IF(AND(B181='IN - TC'!$Q$4,OR(TH!K181="1111",TH!L181="1111")),TH!E181,""),"")</f>
        <v/>
      </c>
      <c r="B181" s="73">
        <f t="shared" si="14"/>
        <v>2014</v>
      </c>
      <c r="C181" s="73">
        <f t="shared" si="15"/>
        <v>10</v>
      </c>
      <c r="D181" s="74">
        <v>41942</v>
      </c>
      <c r="E181" s="74" t="s">
        <v>8</v>
      </c>
      <c r="F181" s="74">
        <v>41942</v>
      </c>
      <c r="G181" s="77" t="s">
        <v>21</v>
      </c>
      <c r="H181" s="180"/>
      <c r="I181" s="91"/>
      <c r="J181" s="75">
        <v>25000</v>
      </c>
      <c r="K181" s="76" t="s">
        <v>159</v>
      </c>
      <c r="L181" s="76" t="s">
        <v>34</v>
      </c>
      <c r="M181" s="103" t="str">
        <f>IF(AND('331-CT'!$E$7=TH!I181,OR(K181="331",L181="331")),"x","")</f>
        <v/>
      </c>
      <c r="N181" s="103" t="str">
        <f>IF(AND($C181&gt;='1111'!$N$10,$C181&lt;='1111'!$O$10,OR($K181=$N$7,$L181=$N$7)),"x","")</f>
        <v/>
      </c>
      <c r="O181" s="103" t="str">
        <f>IF(AND($K181=$N$7,$C181&lt;'1111'!$N$10),"x","")</f>
        <v/>
      </c>
      <c r="P181" s="103" t="str">
        <f>IF(AND($L181=$N$7,$C181&lt;'1111'!$N$10),"x","")</f>
        <v/>
      </c>
      <c r="Q181" s="103" t="str">
        <f>IF(AND($C181&gt;='1121'!$N$9,$C181&lt;='1121'!$O$9,OR($K181=$Q$7,$L181=$Q$7)),"x","")</f>
        <v>x</v>
      </c>
      <c r="R181" s="103" t="str">
        <f>IF(AND($K181=$Q$7,$C181&lt;'1121'!$N$9),"x","")</f>
        <v/>
      </c>
      <c r="S181" s="103" t="str">
        <f>IF(AND($L181=$Q$7,$C181&lt;'1121'!$N$9),"x","")</f>
        <v/>
      </c>
      <c r="T181" s="103" t="str">
        <f>IF(AND($C181&gt;='1331'!$I$9,$C181&lt;='1331'!$J$9,OR($K181=$T$7,$L181=$T$7)),"x","")</f>
        <v/>
      </c>
      <c r="U181" s="103" t="str">
        <f>IF(AND($K181=$T$7,$C181&lt;'1331'!$I$9),"x","")</f>
        <v/>
      </c>
      <c r="V181" s="103" t="str">
        <f>IF(AND($L181=$T$7,$C181&lt;'1331'!$I$9),"x","")</f>
        <v/>
      </c>
      <c r="W181" s="103" t="str">
        <f>IF(AND('3411-CT'!$E$9=TH!I181,OR(TH!K181=TH!$W$7,L181=TH!$W$7)),"x","")</f>
        <v/>
      </c>
      <c r="X181" s="103" t="str">
        <f>IF(OR(TH!K181=TH!$X$7,L181=TH!$X$7),"x","")</f>
        <v/>
      </c>
    </row>
    <row r="182" spans="1:24">
      <c r="A182" s="178" t="str">
        <f>IF(E182&lt;&gt;"",IF(AND(B182='IN - TC'!$Q$4,OR(TH!K182="1111",TH!L182="1111")),TH!E182,""),"")</f>
        <v/>
      </c>
      <c r="B182" s="73">
        <f t="shared" si="14"/>
        <v>2014</v>
      </c>
      <c r="C182" s="73">
        <f t="shared" si="15"/>
        <v>10</v>
      </c>
      <c r="D182" s="74">
        <v>41942</v>
      </c>
      <c r="E182" s="74" t="s">
        <v>8</v>
      </c>
      <c r="F182" s="74">
        <v>41942</v>
      </c>
      <c r="G182" s="77" t="s">
        <v>22</v>
      </c>
      <c r="H182" s="180"/>
      <c r="I182" s="91"/>
      <c r="J182" s="75">
        <v>2500</v>
      </c>
      <c r="K182" s="76" t="s">
        <v>10</v>
      </c>
      <c r="L182" s="76" t="s">
        <v>34</v>
      </c>
      <c r="M182" s="103" t="str">
        <f>IF(AND('331-CT'!$E$7=TH!I182,OR(K182="331",L182="331")),"x","")</f>
        <v/>
      </c>
      <c r="N182" s="103" t="str">
        <f>IF(AND($C182&gt;='1111'!$N$10,$C182&lt;='1111'!$O$10,OR($K182=$N$7,$L182=$N$7)),"x","")</f>
        <v/>
      </c>
      <c r="O182" s="103" t="str">
        <f>IF(AND($K182=$N$7,$C182&lt;'1111'!$N$10),"x","")</f>
        <v/>
      </c>
      <c r="P182" s="103" t="str">
        <f>IF(AND($L182=$N$7,$C182&lt;'1111'!$N$10),"x","")</f>
        <v/>
      </c>
      <c r="Q182" s="103" t="str">
        <f>IF(AND($C182&gt;='1121'!$N$9,$C182&lt;='1121'!$O$9,OR($K182=$Q$7,$L182=$Q$7)),"x","")</f>
        <v>x</v>
      </c>
      <c r="R182" s="103" t="str">
        <f>IF(AND($K182=$Q$7,$C182&lt;'1121'!$N$9),"x","")</f>
        <v/>
      </c>
      <c r="S182" s="103" t="str">
        <f>IF(AND($L182=$Q$7,$C182&lt;'1121'!$N$9),"x","")</f>
        <v/>
      </c>
      <c r="T182" s="103" t="str">
        <f>IF(AND($C182&gt;='1331'!$I$9,$C182&lt;='1331'!$J$9,OR($K182=$T$7,$L182=$T$7)),"x","")</f>
        <v/>
      </c>
      <c r="U182" s="103" t="str">
        <f>IF(AND($K182=$T$7,$C182&lt;'1331'!$I$9),"x","")</f>
        <v/>
      </c>
      <c r="V182" s="103" t="str">
        <f>IF(AND($L182=$T$7,$C182&lt;'1331'!$I$9),"x","")</f>
        <v/>
      </c>
      <c r="W182" s="103" t="str">
        <f>IF(AND('3411-CT'!$E$9=TH!I182,OR(TH!K182=TH!$W$7,L182=TH!$W$7)),"x","")</f>
        <v/>
      </c>
      <c r="X182" s="103" t="str">
        <f>IF(OR(TH!K182=TH!$X$7,L182=TH!$X$7),"x","")</f>
        <v/>
      </c>
    </row>
    <row r="183" spans="1:24">
      <c r="A183" s="178" t="str">
        <f>IF(E183&lt;&gt;"",IF(AND(B183='IN - TC'!$Q$4,OR(TH!K183="1111",TH!L183="1111")),TH!E183,""),"")</f>
        <v/>
      </c>
      <c r="B183" s="73">
        <f t="shared" si="14"/>
        <v>2014</v>
      </c>
      <c r="C183" s="73">
        <f t="shared" si="15"/>
        <v>10</v>
      </c>
      <c r="D183" s="74">
        <v>41942</v>
      </c>
      <c r="E183" s="74" t="s">
        <v>8</v>
      </c>
      <c r="F183" s="74">
        <v>41942</v>
      </c>
      <c r="G183" s="77" t="s">
        <v>76</v>
      </c>
      <c r="H183" s="180"/>
      <c r="I183" s="92" t="s">
        <v>75</v>
      </c>
      <c r="J183" s="75">
        <v>500000000</v>
      </c>
      <c r="K183" s="76" t="s">
        <v>9</v>
      </c>
      <c r="L183" s="76" t="s">
        <v>34</v>
      </c>
      <c r="M183" s="103" t="str">
        <f>IF(AND('331-CT'!$E$7=TH!I183,OR(K183="331",L183="331")),"x","")</f>
        <v/>
      </c>
      <c r="N183" s="103" t="str">
        <f>IF(AND($C183&gt;='1111'!$N$10,$C183&lt;='1111'!$O$10,OR($K183=$N$7,$L183=$N$7)),"x","")</f>
        <v/>
      </c>
      <c r="O183" s="103" t="str">
        <f>IF(AND($K183=$N$7,$C183&lt;'1111'!$N$10),"x","")</f>
        <v/>
      </c>
      <c r="P183" s="103" t="str">
        <f>IF(AND($L183=$N$7,$C183&lt;'1111'!$N$10),"x","")</f>
        <v/>
      </c>
      <c r="Q183" s="103" t="str">
        <f>IF(AND($C183&gt;='1121'!$N$9,$C183&lt;='1121'!$O$9,OR($K183=$Q$7,$L183=$Q$7)),"x","")</f>
        <v>x</v>
      </c>
      <c r="R183" s="103" t="str">
        <f>IF(AND($K183=$Q$7,$C183&lt;'1121'!$N$9),"x","")</f>
        <v/>
      </c>
      <c r="S183" s="103" t="str">
        <f>IF(AND($L183=$Q$7,$C183&lt;'1121'!$N$9),"x","")</f>
        <v/>
      </c>
      <c r="T183" s="103" t="str">
        <f>IF(AND($C183&gt;='1331'!$I$9,$C183&lt;='1331'!$J$9,OR($K183=$T$7,$L183=$T$7)),"x","")</f>
        <v/>
      </c>
      <c r="U183" s="103" t="str">
        <f>IF(AND($K183=$T$7,$C183&lt;'1331'!$I$9),"x","")</f>
        <v/>
      </c>
      <c r="V183" s="103" t="str">
        <f>IF(AND($L183=$T$7,$C183&lt;'1331'!$I$9),"x","")</f>
        <v/>
      </c>
      <c r="W183" s="103" t="str">
        <f>IF(AND('3411-CT'!$E$9=TH!I183,OR(TH!K183=TH!$W$7,L183=TH!$W$7)),"x","")</f>
        <v/>
      </c>
      <c r="X183" s="103" t="str">
        <f>IF(OR(TH!K183=TH!$X$7,L183=TH!$X$7),"x","")</f>
        <v/>
      </c>
    </row>
    <row r="184" spans="1:24">
      <c r="A184" s="178" t="str">
        <f>IF(E184&lt;&gt;"",IF(AND(B184='IN - TC'!$Q$4,OR(TH!K184="1111",TH!L184="1111")),TH!E184,""),"")</f>
        <v/>
      </c>
      <c r="B184" s="73">
        <f t="shared" si="14"/>
        <v>2014</v>
      </c>
      <c r="C184" s="73">
        <f t="shared" si="15"/>
        <v>10</v>
      </c>
      <c r="D184" s="74">
        <v>41942</v>
      </c>
      <c r="E184" s="74" t="s">
        <v>8</v>
      </c>
      <c r="F184" s="74">
        <v>41942</v>
      </c>
      <c r="G184" s="77" t="s">
        <v>21</v>
      </c>
      <c r="H184" s="180"/>
      <c r="I184" s="91"/>
      <c r="J184" s="75">
        <v>150000</v>
      </c>
      <c r="K184" s="76" t="s">
        <v>159</v>
      </c>
      <c r="L184" s="76" t="s">
        <v>34</v>
      </c>
      <c r="M184" s="103" t="str">
        <f>IF(AND('331-CT'!$E$7=TH!I184,OR(K184="331",L184="331")),"x","")</f>
        <v/>
      </c>
      <c r="N184" s="103" t="str">
        <f>IF(AND($C184&gt;='1111'!$N$10,$C184&lt;='1111'!$O$10,OR($K184=$N$7,$L184=$N$7)),"x","")</f>
        <v/>
      </c>
      <c r="O184" s="103" t="str">
        <f>IF(AND($K184=$N$7,$C184&lt;'1111'!$N$10),"x","")</f>
        <v/>
      </c>
      <c r="P184" s="103" t="str">
        <f>IF(AND($L184=$N$7,$C184&lt;'1111'!$N$10),"x","")</f>
        <v/>
      </c>
      <c r="Q184" s="103" t="str">
        <f>IF(AND($C184&gt;='1121'!$N$9,$C184&lt;='1121'!$O$9,OR($K184=$Q$7,$L184=$Q$7)),"x","")</f>
        <v>x</v>
      </c>
      <c r="R184" s="103" t="str">
        <f>IF(AND($K184=$Q$7,$C184&lt;'1121'!$N$9),"x","")</f>
        <v/>
      </c>
      <c r="S184" s="103" t="str">
        <f>IF(AND($L184=$Q$7,$C184&lt;'1121'!$N$9),"x","")</f>
        <v/>
      </c>
      <c r="T184" s="103" t="str">
        <f>IF(AND($C184&gt;='1331'!$I$9,$C184&lt;='1331'!$J$9,OR($K184=$T$7,$L184=$T$7)),"x","")</f>
        <v/>
      </c>
      <c r="U184" s="103" t="str">
        <f>IF(AND($K184=$T$7,$C184&lt;'1331'!$I$9),"x","")</f>
        <v/>
      </c>
      <c r="V184" s="103" t="str">
        <f>IF(AND($L184=$T$7,$C184&lt;'1331'!$I$9),"x","")</f>
        <v/>
      </c>
      <c r="W184" s="103" t="str">
        <f>IF(AND('3411-CT'!$E$9=TH!I184,OR(TH!K184=TH!$W$7,L184=TH!$W$7)),"x","")</f>
        <v/>
      </c>
      <c r="X184" s="103" t="str">
        <f>IF(OR(TH!K184=TH!$X$7,L184=TH!$X$7),"x","")</f>
        <v/>
      </c>
    </row>
    <row r="185" spans="1:24">
      <c r="A185" s="178" t="str">
        <f>IF(E185&lt;&gt;"",IF(AND(B185='IN - TC'!$Q$4,OR(TH!K185="1111",TH!L185="1111")),TH!E185,""),"")</f>
        <v/>
      </c>
      <c r="B185" s="73">
        <f t="shared" si="14"/>
        <v>2014</v>
      </c>
      <c r="C185" s="73">
        <f t="shared" si="15"/>
        <v>10</v>
      </c>
      <c r="D185" s="74">
        <v>41942</v>
      </c>
      <c r="E185" s="74" t="s">
        <v>8</v>
      </c>
      <c r="F185" s="74">
        <v>41942</v>
      </c>
      <c r="G185" s="80" t="s">
        <v>22</v>
      </c>
      <c r="H185" s="180"/>
      <c r="I185" s="91"/>
      <c r="J185" s="75">
        <v>15000</v>
      </c>
      <c r="K185" s="76" t="s">
        <v>10</v>
      </c>
      <c r="L185" s="76" t="s">
        <v>34</v>
      </c>
      <c r="M185" s="103" t="str">
        <f>IF(AND('331-CT'!$E$7=TH!I185,OR(K185="331",L185="331")),"x","")</f>
        <v/>
      </c>
      <c r="N185" s="103" t="str">
        <f>IF(AND($C185&gt;='1111'!$N$10,$C185&lt;='1111'!$O$10,OR($K185=$N$7,$L185=$N$7)),"x","")</f>
        <v/>
      </c>
      <c r="O185" s="103" t="str">
        <f>IF(AND($K185=$N$7,$C185&lt;'1111'!$N$10),"x","")</f>
        <v/>
      </c>
      <c r="P185" s="103" t="str">
        <f>IF(AND($L185=$N$7,$C185&lt;'1111'!$N$10),"x","")</f>
        <v/>
      </c>
      <c r="Q185" s="103" t="str">
        <f>IF(AND($C185&gt;='1121'!$N$9,$C185&lt;='1121'!$O$9,OR($K185=$Q$7,$L185=$Q$7)),"x","")</f>
        <v>x</v>
      </c>
      <c r="R185" s="103" t="str">
        <f>IF(AND($K185=$Q$7,$C185&lt;'1121'!$N$9),"x","")</f>
        <v/>
      </c>
      <c r="S185" s="103" t="str">
        <f>IF(AND($L185=$Q$7,$C185&lt;'1121'!$N$9),"x","")</f>
        <v/>
      </c>
      <c r="T185" s="103" t="str">
        <f>IF(AND($C185&gt;='1331'!$I$9,$C185&lt;='1331'!$J$9,OR($K185=$T$7,$L185=$T$7)),"x","")</f>
        <v/>
      </c>
      <c r="U185" s="103" t="str">
        <f>IF(AND($K185=$T$7,$C185&lt;'1331'!$I$9),"x","")</f>
        <v/>
      </c>
      <c r="V185" s="103" t="str">
        <f>IF(AND($L185=$T$7,$C185&lt;'1331'!$I$9),"x","")</f>
        <v/>
      </c>
      <c r="W185" s="103" t="str">
        <f>IF(AND('3411-CT'!$E$9=TH!I185,OR(TH!K185=TH!$W$7,L185=TH!$W$7)),"x","")</f>
        <v/>
      </c>
      <c r="X185" s="103" t="str">
        <f>IF(OR(TH!K185=TH!$X$7,L185=TH!$X$7),"x","")</f>
        <v/>
      </c>
    </row>
    <row r="186" spans="1:24">
      <c r="A186" s="178" t="str">
        <f>IF(E186&lt;&gt;"",IF(AND(B186='IN - TC'!$Q$4,OR(TH!K186="1111",TH!L186="1111")),TH!E186,""),"")</f>
        <v/>
      </c>
      <c r="B186" s="73">
        <f t="shared" si="14"/>
        <v>2014</v>
      </c>
      <c r="C186" s="73">
        <f t="shared" si="15"/>
        <v>10</v>
      </c>
      <c r="D186" s="74">
        <v>41943</v>
      </c>
      <c r="E186" s="74" t="s">
        <v>49</v>
      </c>
      <c r="F186" s="74">
        <v>41943</v>
      </c>
      <c r="G186" s="77" t="s">
        <v>387</v>
      </c>
      <c r="H186" s="180" t="s">
        <v>388</v>
      </c>
      <c r="I186" s="93" t="s">
        <v>78</v>
      </c>
      <c r="J186" s="75">
        <v>14842908</v>
      </c>
      <c r="K186" s="76" t="s">
        <v>248</v>
      </c>
      <c r="L186" s="76" t="s">
        <v>9</v>
      </c>
      <c r="M186" s="103" t="str">
        <f>IF(AND('331-CT'!$E$7=TH!I186,OR(K186="331",L186="331")),"x","")</f>
        <v/>
      </c>
      <c r="N186" s="103" t="str">
        <f>IF(AND($C186&gt;='1111'!$N$10,$C186&lt;='1111'!$O$10,OR($K186=$N$7,$L186=$N$7)),"x","")</f>
        <v/>
      </c>
      <c r="O186" s="103" t="str">
        <f>IF(AND($K186=$N$7,$C186&lt;'1111'!$N$10),"x","")</f>
        <v/>
      </c>
      <c r="P186" s="103" t="str">
        <f>IF(AND($L186=$N$7,$C186&lt;'1111'!$N$10),"x","")</f>
        <v/>
      </c>
      <c r="Q186" s="103" t="str">
        <f>IF(AND($C186&gt;='1121'!$N$9,$C186&lt;='1121'!$O$9,OR($K186=$Q$7,$L186=$Q$7)),"x","")</f>
        <v/>
      </c>
      <c r="R186" s="103" t="str">
        <f>IF(AND($K186=$Q$7,$C186&lt;'1121'!$N$9),"x","")</f>
        <v/>
      </c>
      <c r="S186" s="103" t="str">
        <f>IF(AND($L186=$Q$7,$C186&lt;'1121'!$N$9),"x","")</f>
        <v/>
      </c>
      <c r="T186" s="103" t="str">
        <f>IF(AND($C186&gt;='1331'!$I$9,$C186&lt;='1331'!$J$9,OR($K186=$T$7,$L186=$T$7)),"x","")</f>
        <v/>
      </c>
      <c r="U186" s="103" t="str">
        <f>IF(AND($K186=$T$7,$C186&lt;'1331'!$I$9),"x","")</f>
        <v/>
      </c>
      <c r="V186" s="103" t="str">
        <f>IF(AND($L186=$T$7,$C186&lt;'1331'!$I$9),"x","")</f>
        <v/>
      </c>
      <c r="W186" s="103" t="str">
        <f>IF(AND('3411-CT'!$E$9=TH!I186,OR(TH!K186=TH!$W$7,L186=TH!$W$7)),"x","")</f>
        <v/>
      </c>
      <c r="X186" s="103" t="str">
        <f>IF(OR(TH!K186=TH!$X$7,L186=TH!$X$7),"x","")</f>
        <v/>
      </c>
    </row>
    <row r="187" spans="1:24">
      <c r="A187" s="178" t="str">
        <f>IF(E187&lt;&gt;"",IF(AND(B187='IN - TC'!$Q$4,OR(TH!K187="1111",TH!L187="1111")),TH!E187,""),"")</f>
        <v/>
      </c>
      <c r="B187" s="73">
        <f t="shared" si="14"/>
        <v>2014</v>
      </c>
      <c r="C187" s="73">
        <f t="shared" si="15"/>
        <v>10</v>
      </c>
      <c r="D187" s="74">
        <v>41943</v>
      </c>
      <c r="E187" s="74" t="s">
        <v>49</v>
      </c>
      <c r="F187" s="74">
        <v>41943</v>
      </c>
      <c r="G187" s="77" t="s">
        <v>389</v>
      </c>
      <c r="H187" s="180" t="s">
        <v>388</v>
      </c>
      <c r="I187" s="93" t="s">
        <v>78</v>
      </c>
      <c r="J187" s="75">
        <v>1484291</v>
      </c>
      <c r="K187" s="76" t="s">
        <v>10</v>
      </c>
      <c r="L187" s="76" t="s">
        <v>9</v>
      </c>
      <c r="M187" s="103" t="str">
        <f>IF(AND('331-CT'!$E$7=TH!I187,OR(K187="331",L187="331")),"x","")</f>
        <v/>
      </c>
      <c r="N187" s="103" t="str">
        <f>IF(AND($C187&gt;='1111'!$N$10,$C187&lt;='1111'!$O$10,OR($K187=$N$7,$L187=$N$7)),"x","")</f>
        <v/>
      </c>
      <c r="O187" s="103" t="str">
        <f>IF(AND($K187=$N$7,$C187&lt;'1111'!$N$10),"x","")</f>
        <v/>
      </c>
      <c r="P187" s="103" t="str">
        <f>IF(AND($L187=$N$7,$C187&lt;'1111'!$N$10),"x","")</f>
        <v/>
      </c>
      <c r="Q187" s="103" t="str">
        <f>IF(AND($C187&gt;='1121'!$N$9,$C187&lt;='1121'!$O$9,OR($K187=$Q$7,$L187=$Q$7)),"x","")</f>
        <v/>
      </c>
      <c r="R187" s="103" t="str">
        <f>IF(AND($K187=$Q$7,$C187&lt;'1121'!$N$9),"x","")</f>
        <v/>
      </c>
      <c r="S187" s="103" t="str">
        <f>IF(AND($L187=$Q$7,$C187&lt;'1121'!$N$9),"x","")</f>
        <v/>
      </c>
      <c r="T187" s="103" t="str">
        <f>IF(AND($C187&gt;='1331'!$I$9,$C187&lt;='1331'!$J$9,OR($K187=$T$7,$L187=$T$7)),"x","")</f>
        <v/>
      </c>
      <c r="U187" s="103" t="str">
        <f>IF(AND($K187=$T$7,$C187&lt;'1331'!$I$9),"x","")</f>
        <v/>
      </c>
      <c r="V187" s="103" t="str">
        <f>IF(AND($L187=$T$7,$C187&lt;'1331'!$I$9),"x","")</f>
        <v/>
      </c>
      <c r="W187" s="103" t="str">
        <f>IF(AND('3411-CT'!$E$9=TH!I187,OR(TH!K187=TH!$W$7,L187=TH!$W$7)),"x","")</f>
        <v/>
      </c>
      <c r="X187" s="103" t="str">
        <f>IF(OR(TH!K187=TH!$X$7,L187=TH!$X$7),"x","")</f>
        <v/>
      </c>
    </row>
    <row r="188" spans="1:24">
      <c r="A188" s="178" t="str">
        <f>IF(E188&lt;&gt;"",IF(AND(B188='IN - TC'!$Q$4,OR(TH!K188="1111",TH!L188="1111")),TH!E188,""),"")</f>
        <v>C17</v>
      </c>
      <c r="B188" s="73">
        <f t="shared" si="14"/>
        <v>2014</v>
      </c>
      <c r="C188" s="73">
        <f t="shared" si="15"/>
        <v>11</v>
      </c>
      <c r="D188" s="74">
        <v>41949</v>
      </c>
      <c r="E188" s="74" t="s">
        <v>98</v>
      </c>
      <c r="F188" s="74">
        <v>41949</v>
      </c>
      <c r="G188" s="77" t="s">
        <v>390</v>
      </c>
      <c r="H188" s="180" t="s">
        <v>391</v>
      </c>
      <c r="I188" s="93" t="s">
        <v>392</v>
      </c>
      <c r="J188" s="75">
        <v>2160000</v>
      </c>
      <c r="K188" s="76" t="s">
        <v>159</v>
      </c>
      <c r="L188" s="76" t="s">
        <v>120</v>
      </c>
      <c r="M188" s="103" t="str">
        <f>IF(AND('331-CT'!$E$7=TH!I188,OR(K188="331",L188="331")),"x","")</f>
        <v/>
      </c>
      <c r="N188" s="103" t="str">
        <f>IF(AND($C188&gt;='1111'!$N$10,$C188&lt;='1111'!$O$10,OR($K188=$N$7,$L188=$N$7)),"x","")</f>
        <v>x</v>
      </c>
      <c r="O188" s="103" t="str">
        <f>IF(AND($K188=$N$7,$C188&lt;'1111'!$N$10),"x","")</f>
        <v/>
      </c>
      <c r="P188" s="103" t="str">
        <f>IF(AND($L188=$N$7,$C188&lt;'1111'!$N$10),"x","")</f>
        <v/>
      </c>
      <c r="Q188" s="103" t="str">
        <f>IF(AND($C188&gt;='1121'!$N$9,$C188&lt;='1121'!$O$9,OR($K188=$Q$7,$L188=$Q$7)),"x","")</f>
        <v/>
      </c>
      <c r="R188" s="103" t="str">
        <f>IF(AND($K188=$Q$7,$C188&lt;'1121'!$N$9),"x","")</f>
        <v/>
      </c>
      <c r="S188" s="103" t="str">
        <f>IF(AND($L188=$Q$7,$C188&lt;'1121'!$N$9),"x","")</f>
        <v/>
      </c>
      <c r="T188" s="103" t="str">
        <f>IF(AND($C188&gt;='1331'!$I$9,$C188&lt;='1331'!$J$9,OR($K188=$T$7,$L188=$T$7)),"x","")</f>
        <v/>
      </c>
      <c r="U188" s="103" t="str">
        <f>IF(AND($K188=$T$7,$C188&lt;'1331'!$I$9),"x","")</f>
        <v/>
      </c>
      <c r="V188" s="103" t="str">
        <f>IF(AND($L188=$T$7,$C188&lt;'1331'!$I$9),"x","")</f>
        <v/>
      </c>
      <c r="W188" s="103" t="str">
        <f>IF(AND('3411-CT'!$E$9=TH!I188,OR(TH!K188=TH!$W$7,L188=TH!$W$7)),"x","")</f>
        <v/>
      </c>
      <c r="X188" s="103" t="str">
        <f>IF(OR(TH!K188=TH!$X$7,L188=TH!$X$7),"x","")</f>
        <v/>
      </c>
    </row>
    <row r="189" spans="1:24">
      <c r="A189" s="178" t="str">
        <f>IF(E189&lt;&gt;"",IF(AND(B189='IN - TC'!$Q$4,OR(TH!K189="1111",TH!L189="1111")),TH!E189,""),"")</f>
        <v>C17</v>
      </c>
      <c r="B189" s="73">
        <f t="shared" si="14"/>
        <v>2014</v>
      </c>
      <c r="C189" s="73">
        <f t="shared" si="15"/>
        <v>11</v>
      </c>
      <c r="D189" s="74">
        <v>41949</v>
      </c>
      <c r="E189" s="74" t="s">
        <v>98</v>
      </c>
      <c r="F189" s="74">
        <v>41949</v>
      </c>
      <c r="G189" s="77" t="s">
        <v>393</v>
      </c>
      <c r="H189" s="180" t="s">
        <v>391</v>
      </c>
      <c r="I189" s="93" t="s">
        <v>392</v>
      </c>
      <c r="J189" s="75">
        <v>216000</v>
      </c>
      <c r="K189" s="76" t="s">
        <v>10</v>
      </c>
      <c r="L189" s="76" t="s">
        <v>120</v>
      </c>
      <c r="M189" s="103" t="str">
        <f>IF(AND('331-CT'!$E$7=TH!I189,OR(K189="331",L189="331")),"x","")</f>
        <v/>
      </c>
      <c r="N189" s="103" t="str">
        <f>IF(AND($C189&gt;='1111'!$N$10,$C189&lt;='1111'!$O$10,OR($K189=$N$7,$L189=$N$7)),"x","")</f>
        <v>x</v>
      </c>
      <c r="O189" s="103" t="str">
        <f>IF(AND($K189=$N$7,$C189&lt;'1111'!$N$10),"x","")</f>
        <v/>
      </c>
      <c r="P189" s="103" t="str">
        <f>IF(AND($L189=$N$7,$C189&lt;'1111'!$N$10),"x","")</f>
        <v/>
      </c>
      <c r="Q189" s="103" t="str">
        <f>IF(AND($C189&gt;='1121'!$N$9,$C189&lt;='1121'!$O$9,OR($K189=$Q$7,$L189=$Q$7)),"x","")</f>
        <v/>
      </c>
      <c r="R189" s="103" t="str">
        <f>IF(AND($K189=$Q$7,$C189&lt;'1121'!$N$9),"x","")</f>
        <v/>
      </c>
      <c r="S189" s="103" t="str">
        <f>IF(AND($L189=$Q$7,$C189&lt;'1121'!$N$9),"x","")</f>
        <v/>
      </c>
      <c r="T189" s="103" t="str">
        <f>IF(AND($C189&gt;='1331'!$I$9,$C189&lt;='1331'!$J$9,OR($K189=$T$7,$L189=$T$7)),"x","")</f>
        <v/>
      </c>
      <c r="U189" s="103" t="str">
        <f>IF(AND($K189=$T$7,$C189&lt;'1331'!$I$9),"x","")</f>
        <v/>
      </c>
      <c r="V189" s="103" t="str">
        <f>IF(AND($L189=$T$7,$C189&lt;'1331'!$I$9),"x","")</f>
        <v/>
      </c>
      <c r="W189" s="103" t="str">
        <f>IF(AND('3411-CT'!$E$9=TH!I189,OR(TH!K189=TH!$W$7,L189=TH!$W$7)),"x","")</f>
        <v/>
      </c>
      <c r="X189" s="103" t="str">
        <f>IF(OR(TH!K189=TH!$X$7,L189=TH!$X$7),"x","")</f>
        <v/>
      </c>
    </row>
    <row r="190" spans="1:24">
      <c r="A190" s="178" t="str">
        <f>IF(E190&lt;&gt;"",IF(AND(B190='IN - TC'!$Q$4,OR(TH!K190="1111",TH!L190="1111")),TH!E190,""),"")</f>
        <v>C18</v>
      </c>
      <c r="B190" s="73">
        <f t="shared" si="14"/>
        <v>2014</v>
      </c>
      <c r="C190" s="73">
        <f t="shared" si="15"/>
        <v>11</v>
      </c>
      <c r="D190" s="74">
        <v>41963</v>
      </c>
      <c r="E190" s="74" t="s">
        <v>99</v>
      </c>
      <c r="F190" s="74">
        <v>41963</v>
      </c>
      <c r="G190" s="77" t="s">
        <v>223</v>
      </c>
      <c r="H190" s="180"/>
      <c r="I190" s="93" t="s">
        <v>184</v>
      </c>
      <c r="J190" s="75">
        <v>40500000</v>
      </c>
      <c r="K190" s="105" t="s">
        <v>23</v>
      </c>
      <c r="L190" s="105" t="s">
        <v>120</v>
      </c>
      <c r="M190" s="103" t="str">
        <f>IF(AND('331-CT'!$E$7=TH!I190,OR(K190="331",L190="331")),"x","")</f>
        <v/>
      </c>
      <c r="N190" s="103" t="str">
        <f>IF(AND($C190&gt;='1111'!$N$10,$C190&lt;='1111'!$O$10,OR($K190=$N$7,$L190=$N$7)),"x","")</f>
        <v>x</v>
      </c>
      <c r="O190" s="103" t="str">
        <f>IF(AND($K190=$N$7,$C190&lt;'1111'!$N$10),"x","")</f>
        <v/>
      </c>
      <c r="P190" s="103" t="str">
        <f>IF(AND($L190=$N$7,$C190&lt;'1111'!$N$10),"x","")</f>
        <v/>
      </c>
      <c r="Q190" s="103" t="str">
        <f>IF(AND($C190&gt;='1121'!$N$9,$C190&lt;='1121'!$O$9,OR($K190=$Q$7,$L190=$Q$7)),"x","")</f>
        <v/>
      </c>
      <c r="R190" s="103" t="str">
        <f>IF(AND($K190=$Q$7,$C190&lt;'1121'!$N$9),"x","")</f>
        <v/>
      </c>
      <c r="S190" s="103" t="str">
        <f>IF(AND($L190=$Q$7,$C190&lt;'1121'!$N$9),"x","")</f>
        <v/>
      </c>
      <c r="T190" s="103" t="str">
        <f>IF(AND($C190&gt;='1331'!$I$9,$C190&lt;='1331'!$J$9,OR($K190=$T$7,$L190=$T$7)),"x","")</f>
        <v/>
      </c>
      <c r="U190" s="103" t="str">
        <f>IF(AND($K190=$T$7,$C190&lt;'1331'!$I$9),"x","")</f>
        <v/>
      </c>
      <c r="V190" s="103" t="str">
        <f>IF(AND($L190=$T$7,$C190&lt;'1331'!$I$9),"x","")</f>
        <v/>
      </c>
      <c r="W190" s="103" t="str">
        <f>IF(AND('3411-CT'!$E$9=TH!I190,OR(TH!K190=TH!$W$7,L190=TH!$W$7)),"x","")</f>
        <v/>
      </c>
      <c r="X190" s="103" t="str">
        <f>IF(OR(TH!K190=TH!$X$7,L190=TH!$X$7),"x","")</f>
        <v/>
      </c>
    </row>
    <row r="191" spans="1:24">
      <c r="A191" s="178" t="str">
        <f>IF(E191&lt;&gt;"",IF(AND(B191='IN - TC'!$Q$4,OR(TH!K191="1111",TH!L191="1111")),TH!E191,""),"")</f>
        <v/>
      </c>
      <c r="B191" s="73">
        <f t="shared" si="14"/>
        <v>2014</v>
      </c>
      <c r="C191" s="73">
        <f t="shared" si="15"/>
        <v>11</v>
      </c>
      <c r="D191" s="74">
        <v>41963</v>
      </c>
      <c r="E191" s="74" t="s">
        <v>11</v>
      </c>
      <c r="F191" s="74">
        <v>41963</v>
      </c>
      <c r="G191" s="77" t="s">
        <v>27</v>
      </c>
      <c r="H191" s="180"/>
      <c r="I191" s="93" t="s">
        <v>184</v>
      </c>
      <c r="J191" s="75">
        <v>40500000</v>
      </c>
      <c r="K191" s="105" t="s">
        <v>34</v>
      </c>
      <c r="L191" s="105" t="s">
        <v>23</v>
      </c>
      <c r="M191" s="103" t="str">
        <f>IF(AND('331-CT'!$E$7=TH!I191,OR(K191="331",L191="331")),"x","")</f>
        <v/>
      </c>
      <c r="N191" s="103" t="str">
        <f>IF(AND($C191&gt;='1111'!$N$10,$C191&lt;='1111'!$O$10,OR($K191=$N$7,$L191=$N$7)),"x","")</f>
        <v/>
      </c>
      <c r="O191" s="103" t="str">
        <f>IF(AND($K191=$N$7,$C191&lt;'1111'!$N$10),"x","")</f>
        <v/>
      </c>
      <c r="P191" s="103" t="str">
        <f>IF(AND($L191=$N$7,$C191&lt;'1111'!$N$10),"x","")</f>
        <v/>
      </c>
      <c r="Q191" s="103" t="str">
        <f>IF(AND($C191&gt;='1121'!$N$9,$C191&lt;='1121'!$O$9,OR($K191=$Q$7,$L191=$Q$7)),"x","")</f>
        <v>x</v>
      </c>
      <c r="R191" s="103" t="str">
        <f>IF(AND($K191=$Q$7,$C191&lt;'1121'!$N$9),"x","")</f>
        <v/>
      </c>
      <c r="S191" s="103" t="str">
        <f>IF(AND($L191=$Q$7,$C191&lt;'1121'!$N$9),"x","")</f>
        <v/>
      </c>
      <c r="T191" s="103" t="str">
        <f>IF(AND($C191&gt;='1331'!$I$9,$C191&lt;='1331'!$J$9,OR($K191=$T$7,$L191=$T$7)),"x","")</f>
        <v/>
      </c>
      <c r="U191" s="103" t="str">
        <f>IF(AND($K191=$T$7,$C191&lt;'1331'!$I$9),"x","")</f>
        <v/>
      </c>
      <c r="V191" s="103" t="str">
        <f>IF(AND($L191=$T$7,$C191&lt;'1331'!$I$9),"x","")</f>
        <v/>
      </c>
      <c r="W191" s="103" t="str">
        <f>IF(AND('3411-CT'!$E$9=TH!I191,OR(TH!K191=TH!$W$7,L191=TH!$W$7)),"x","")</f>
        <v/>
      </c>
      <c r="X191" s="103" t="str">
        <f>IF(OR(TH!K191=TH!$X$7,L191=TH!$X$7),"x","")</f>
        <v/>
      </c>
    </row>
    <row r="192" spans="1:24">
      <c r="A192" s="178" t="str">
        <f>IF(E192&lt;&gt;"",IF(AND(B192='IN - TC'!$Q$4,OR(TH!K192="1111",TH!L192="1111")),TH!E192,""),"")</f>
        <v/>
      </c>
      <c r="B192" s="73">
        <f t="shared" si="14"/>
        <v>2014</v>
      </c>
      <c r="C192" s="73">
        <f t="shared" si="15"/>
        <v>11</v>
      </c>
      <c r="D192" s="74">
        <v>41963</v>
      </c>
      <c r="E192" s="74" t="s">
        <v>8</v>
      </c>
      <c r="F192" s="74">
        <v>41963</v>
      </c>
      <c r="G192" s="77" t="s">
        <v>394</v>
      </c>
      <c r="H192" s="180"/>
      <c r="I192" s="91" t="s">
        <v>193</v>
      </c>
      <c r="J192" s="75">
        <v>8614699</v>
      </c>
      <c r="K192" s="76" t="s">
        <v>157</v>
      </c>
      <c r="L192" s="76" t="s">
        <v>34</v>
      </c>
      <c r="M192" s="103" t="str">
        <f>IF(AND('331-CT'!$E$7=TH!I192,OR(K192="331",L192="331")),"x","")</f>
        <v/>
      </c>
      <c r="N192" s="103" t="str">
        <f>IF(AND($C192&gt;='1111'!$N$10,$C192&lt;='1111'!$O$10,OR($K192=$N$7,$L192=$N$7)),"x","")</f>
        <v/>
      </c>
      <c r="O192" s="103" t="str">
        <f>IF(AND($K192=$N$7,$C192&lt;'1111'!$N$10),"x","")</f>
        <v/>
      </c>
      <c r="P192" s="103" t="str">
        <f>IF(AND($L192=$N$7,$C192&lt;'1111'!$N$10),"x","")</f>
        <v/>
      </c>
      <c r="Q192" s="103" t="str">
        <f>IF(AND($C192&gt;='1121'!$N$9,$C192&lt;='1121'!$O$9,OR($K192=$Q$7,$L192=$Q$7)),"x","")</f>
        <v>x</v>
      </c>
      <c r="R192" s="103" t="str">
        <f>IF(AND($K192=$Q$7,$C192&lt;'1121'!$N$9),"x","")</f>
        <v/>
      </c>
      <c r="S192" s="103" t="str">
        <f>IF(AND($L192=$Q$7,$C192&lt;'1121'!$N$9),"x","")</f>
        <v/>
      </c>
      <c r="T192" s="103" t="str">
        <f>IF(AND($C192&gt;='1331'!$I$9,$C192&lt;='1331'!$J$9,OR($K192=$T$7,$L192=$T$7)),"x","")</f>
        <v/>
      </c>
      <c r="U192" s="103" t="str">
        <f>IF(AND($K192=$T$7,$C192&lt;'1331'!$I$9),"x","")</f>
        <v/>
      </c>
      <c r="V192" s="103" t="str">
        <f>IF(AND($L192=$T$7,$C192&lt;'1331'!$I$9),"x","")</f>
        <v/>
      </c>
      <c r="W192" s="103" t="str">
        <f>IF(AND('3411-CT'!$E$9=TH!I192,OR(TH!K192=TH!$W$7,L192=TH!$W$7)),"x","")</f>
        <v/>
      </c>
      <c r="X192" s="103" t="str">
        <f>IF(OR(TH!K192=TH!$X$7,L192=TH!$X$7),"x","")</f>
        <v/>
      </c>
    </row>
    <row r="193" spans="1:24">
      <c r="A193" s="178" t="str">
        <f>IF(E193&lt;&gt;"",IF(AND(B193='IN - TC'!$Q$4,OR(TH!K193="1111",TH!L193="1111")),TH!E193,""),"")</f>
        <v/>
      </c>
      <c r="B193" s="73">
        <f t="shared" si="14"/>
        <v>2014</v>
      </c>
      <c r="C193" s="73">
        <f t="shared" si="15"/>
        <v>11</v>
      </c>
      <c r="D193" s="74">
        <v>41963</v>
      </c>
      <c r="E193" s="74" t="s">
        <v>8</v>
      </c>
      <c r="F193" s="74">
        <v>41963</v>
      </c>
      <c r="G193" s="77" t="s">
        <v>85</v>
      </c>
      <c r="H193" s="180"/>
      <c r="I193" s="91" t="s">
        <v>194</v>
      </c>
      <c r="J193" s="75">
        <v>31679861</v>
      </c>
      <c r="K193" s="76" t="s">
        <v>157</v>
      </c>
      <c r="L193" s="76" t="s">
        <v>34</v>
      </c>
      <c r="M193" s="103" t="str">
        <f>IF(AND('331-CT'!$E$7=TH!I193,OR(K193="331",L193="331")),"x","")</f>
        <v/>
      </c>
      <c r="N193" s="103" t="str">
        <f>IF(AND($C193&gt;='1111'!$N$10,$C193&lt;='1111'!$O$10,OR($K193=$N$7,$L193=$N$7)),"x","")</f>
        <v/>
      </c>
      <c r="O193" s="103" t="str">
        <f>IF(AND($K193=$N$7,$C193&lt;'1111'!$N$10),"x","")</f>
        <v/>
      </c>
      <c r="P193" s="103" t="str">
        <f>IF(AND($L193=$N$7,$C193&lt;'1111'!$N$10),"x","")</f>
        <v/>
      </c>
      <c r="Q193" s="103" t="str">
        <f>IF(AND($C193&gt;='1121'!$N$9,$C193&lt;='1121'!$O$9,OR($K193=$Q$7,$L193=$Q$7)),"x","")</f>
        <v>x</v>
      </c>
      <c r="R193" s="103" t="str">
        <f>IF(AND($K193=$Q$7,$C193&lt;'1121'!$N$9),"x","")</f>
        <v/>
      </c>
      <c r="S193" s="103" t="str">
        <f>IF(AND($L193=$Q$7,$C193&lt;'1121'!$N$9),"x","")</f>
        <v/>
      </c>
      <c r="T193" s="103" t="str">
        <f>IF(AND($C193&gt;='1331'!$I$9,$C193&lt;='1331'!$J$9,OR($K193=$T$7,$L193=$T$7)),"x","")</f>
        <v/>
      </c>
      <c r="U193" s="103" t="str">
        <f>IF(AND($K193=$T$7,$C193&lt;'1331'!$I$9),"x","")</f>
        <v/>
      </c>
      <c r="V193" s="103" t="str">
        <f>IF(AND($L193=$T$7,$C193&lt;'1331'!$I$9),"x","")</f>
        <v/>
      </c>
      <c r="W193" s="103" t="str">
        <f>IF(AND('3411-CT'!$E$9=TH!I193,OR(TH!K193=TH!$W$7,L193=TH!$W$7)),"x","")</f>
        <v/>
      </c>
      <c r="X193" s="103" t="str">
        <f>IF(OR(TH!K193=TH!$X$7,L193=TH!$X$7),"x","")</f>
        <v/>
      </c>
    </row>
    <row r="194" spans="1:24">
      <c r="A194" s="178" t="str">
        <f>IF(E194&lt;&gt;"",IF(AND(B194='IN - TC'!$Q$4,OR(TH!K194="1111",TH!L194="1111")),TH!E194,""),"")</f>
        <v/>
      </c>
      <c r="B194" s="73">
        <f t="shared" si="14"/>
        <v>2014</v>
      </c>
      <c r="C194" s="73">
        <f t="shared" si="15"/>
        <v>11</v>
      </c>
      <c r="D194" s="74">
        <v>41963</v>
      </c>
      <c r="E194" s="74" t="s">
        <v>8</v>
      </c>
      <c r="F194" s="74">
        <v>41963</v>
      </c>
      <c r="G194" s="77" t="s">
        <v>372</v>
      </c>
      <c r="H194" s="180"/>
      <c r="I194" s="91" t="s">
        <v>55</v>
      </c>
      <c r="J194" s="75">
        <v>1000000000</v>
      </c>
      <c r="K194" s="76" t="s">
        <v>9</v>
      </c>
      <c r="L194" s="76" t="s">
        <v>34</v>
      </c>
      <c r="M194" s="103" t="str">
        <f>IF(AND('331-CT'!$E$7=TH!I194,OR(K194="331",L194="331")),"x","")</f>
        <v/>
      </c>
      <c r="N194" s="103" t="str">
        <f>IF(AND($C194&gt;='1111'!$N$10,$C194&lt;='1111'!$O$10,OR($K194=$N$7,$L194=$N$7)),"x","")</f>
        <v/>
      </c>
      <c r="O194" s="103" t="str">
        <f>IF(AND($K194=$N$7,$C194&lt;'1111'!$N$10),"x","")</f>
        <v/>
      </c>
      <c r="P194" s="103" t="str">
        <f>IF(AND($L194=$N$7,$C194&lt;'1111'!$N$10),"x","")</f>
        <v/>
      </c>
      <c r="Q194" s="103" t="str">
        <f>IF(AND($C194&gt;='1121'!$N$9,$C194&lt;='1121'!$O$9,OR($K194=$Q$7,$L194=$Q$7)),"x","")</f>
        <v>x</v>
      </c>
      <c r="R194" s="103" t="str">
        <f>IF(AND($K194=$Q$7,$C194&lt;'1121'!$N$9),"x","")</f>
        <v/>
      </c>
      <c r="S194" s="103" t="str">
        <f>IF(AND($L194=$Q$7,$C194&lt;'1121'!$N$9),"x","")</f>
        <v/>
      </c>
      <c r="T194" s="103" t="str">
        <f>IF(AND($C194&gt;='1331'!$I$9,$C194&lt;='1331'!$J$9,OR($K194=$T$7,$L194=$T$7)),"x","")</f>
        <v/>
      </c>
      <c r="U194" s="103" t="str">
        <f>IF(AND($K194=$T$7,$C194&lt;'1331'!$I$9),"x","")</f>
        <v/>
      </c>
      <c r="V194" s="103" t="str">
        <f>IF(AND($L194=$T$7,$C194&lt;'1331'!$I$9),"x","")</f>
        <v/>
      </c>
      <c r="W194" s="103" t="str">
        <f>IF(AND('3411-CT'!$E$9=TH!I194,OR(TH!K194=TH!$W$7,L194=TH!$W$7)),"x","")</f>
        <v/>
      </c>
      <c r="X194" s="103" t="str">
        <f>IF(OR(TH!K194=TH!$X$7,L194=TH!$X$7),"x","")</f>
        <v/>
      </c>
    </row>
    <row r="195" spans="1:24">
      <c r="A195" s="178" t="str">
        <f>IF(E195&lt;&gt;"",IF(AND(B195='IN - TC'!$Q$4,OR(TH!K195="1111",TH!L195="1111")),TH!E195,""),"")</f>
        <v/>
      </c>
      <c r="B195" s="73">
        <f t="shared" si="14"/>
        <v>2014</v>
      </c>
      <c r="C195" s="73">
        <f t="shared" si="15"/>
        <v>11</v>
      </c>
      <c r="D195" s="74">
        <v>41963</v>
      </c>
      <c r="E195" s="74" t="s">
        <v>8</v>
      </c>
      <c r="F195" s="74">
        <v>41963</v>
      </c>
      <c r="G195" s="77" t="s">
        <v>21</v>
      </c>
      <c r="H195" s="180"/>
      <c r="I195" s="91"/>
      <c r="J195" s="75">
        <v>500000</v>
      </c>
      <c r="K195" s="76" t="s">
        <v>159</v>
      </c>
      <c r="L195" s="76" t="s">
        <v>34</v>
      </c>
      <c r="M195" s="103" t="str">
        <f>IF(AND('331-CT'!$E$7=TH!I195,OR(K195="331",L195="331")),"x","")</f>
        <v/>
      </c>
      <c r="N195" s="103" t="str">
        <f>IF(AND($C195&gt;='1111'!$N$10,$C195&lt;='1111'!$O$10,OR($K195=$N$7,$L195=$N$7)),"x","")</f>
        <v/>
      </c>
      <c r="O195" s="103" t="str">
        <f>IF(AND($K195=$N$7,$C195&lt;'1111'!$N$10),"x","")</f>
        <v/>
      </c>
      <c r="P195" s="103" t="str">
        <f>IF(AND($L195=$N$7,$C195&lt;'1111'!$N$10),"x","")</f>
        <v/>
      </c>
      <c r="Q195" s="103" t="str">
        <f>IF(AND($C195&gt;='1121'!$N$9,$C195&lt;='1121'!$O$9,OR($K195=$Q$7,$L195=$Q$7)),"x","")</f>
        <v>x</v>
      </c>
      <c r="R195" s="103" t="str">
        <f>IF(AND($K195=$Q$7,$C195&lt;'1121'!$N$9),"x","")</f>
        <v/>
      </c>
      <c r="S195" s="103" t="str">
        <f>IF(AND($L195=$Q$7,$C195&lt;'1121'!$N$9),"x","")</f>
        <v/>
      </c>
      <c r="T195" s="103" t="str">
        <f>IF(AND($C195&gt;='1331'!$I$9,$C195&lt;='1331'!$J$9,OR($K195=$T$7,$L195=$T$7)),"x","")</f>
        <v/>
      </c>
      <c r="U195" s="103" t="str">
        <f>IF(AND($K195=$T$7,$C195&lt;'1331'!$I$9),"x","")</f>
        <v/>
      </c>
      <c r="V195" s="103" t="str">
        <f>IF(AND($L195=$T$7,$C195&lt;'1331'!$I$9),"x","")</f>
        <v/>
      </c>
      <c r="W195" s="103" t="str">
        <f>IF(AND('3411-CT'!$E$9=TH!I195,OR(TH!K195=TH!$W$7,L195=TH!$W$7)),"x","")</f>
        <v/>
      </c>
      <c r="X195" s="103" t="str">
        <f>IF(OR(TH!K195=TH!$X$7,L195=TH!$X$7),"x","")</f>
        <v/>
      </c>
    </row>
    <row r="196" spans="1:24">
      <c r="A196" s="178" t="str">
        <f>IF(E196&lt;&gt;"",IF(AND(B196='IN - TC'!$Q$4,OR(TH!K196="1111",TH!L196="1111")),TH!E196,""),"")</f>
        <v/>
      </c>
      <c r="B196" s="73">
        <f t="shared" si="14"/>
        <v>2014</v>
      </c>
      <c r="C196" s="73">
        <f t="shared" si="15"/>
        <v>11</v>
      </c>
      <c r="D196" s="74">
        <v>41963</v>
      </c>
      <c r="E196" s="74" t="s">
        <v>8</v>
      </c>
      <c r="F196" s="74">
        <v>41963</v>
      </c>
      <c r="G196" s="77" t="s">
        <v>22</v>
      </c>
      <c r="H196" s="180"/>
      <c r="I196" s="91"/>
      <c r="J196" s="75">
        <v>50000</v>
      </c>
      <c r="K196" s="76" t="s">
        <v>10</v>
      </c>
      <c r="L196" s="76" t="s">
        <v>34</v>
      </c>
      <c r="M196" s="103" t="str">
        <f>IF(AND('331-CT'!$E$7=TH!I196,OR(K196="331",L196="331")),"x","")</f>
        <v/>
      </c>
      <c r="N196" s="103" t="str">
        <f>IF(AND($C196&gt;='1111'!$N$10,$C196&lt;='1111'!$O$10,OR($K196=$N$7,$L196=$N$7)),"x","")</f>
        <v/>
      </c>
      <c r="O196" s="103" t="str">
        <f>IF(AND($K196=$N$7,$C196&lt;'1111'!$N$10),"x","")</f>
        <v/>
      </c>
      <c r="P196" s="103" t="str">
        <f>IF(AND($L196=$N$7,$C196&lt;'1111'!$N$10),"x","")</f>
        <v/>
      </c>
      <c r="Q196" s="103" t="str">
        <f>IF(AND($C196&gt;='1121'!$N$9,$C196&lt;='1121'!$O$9,OR($K196=$Q$7,$L196=$Q$7)),"x","")</f>
        <v>x</v>
      </c>
      <c r="R196" s="103" t="str">
        <f>IF(AND($K196=$Q$7,$C196&lt;'1121'!$N$9),"x","")</f>
        <v/>
      </c>
      <c r="S196" s="103" t="str">
        <f>IF(AND($L196=$Q$7,$C196&lt;'1121'!$N$9),"x","")</f>
        <v/>
      </c>
      <c r="T196" s="103" t="str">
        <f>IF(AND($C196&gt;='1331'!$I$9,$C196&lt;='1331'!$J$9,OR($K196=$T$7,$L196=$T$7)),"x","")</f>
        <v/>
      </c>
      <c r="U196" s="103" t="str">
        <f>IF(AND($K196=$T$7,$C196&lt;'1331'!$I$9),"x","")</f>
        <v/>
      </c>
      <c r="V196" s="103" t="str">
        <f>IF(AND($L196=$T$7,$C196&lt;'1331'!$I$9),"x","")</f>
        <v/>
      </c>
      <c r="W196" s="103" t="str">
        <f>IF(AND('3411-CT'!$E$9=TH!I196,OR(TH!K196=TH!$W$7,L196=TH!$W$7)),"x","")</f>
        <v/>
      </c>
      <c r="X196" s="103" t="str">
        <f>IF(OR(TH!K196=TH!$X$7,L196=TH!$X$7),"x","")</f>
        <v/>
      </c>
    </row>
    <row r="197" spans="1:24">
      <c r="A197" s="178" t="str">
        <f>IF(E197&lt;&gt;"",IF(AND(B197='IN - TC'!$Q$4,OR(TH!K197="1111",TH!L197="1111")),TH!E197,""),"")</f>
        <v/>
      </c>
      <c r="B197" s="73">
        <f t="shared" si="14"/>
        <v>2014</v>
      </c>
      <c r="C197" s="73">
        <f t="shared" si="15"/>
        <v>11</v>
      </c>
      <c r="D197" s="74">
        <v>41963</v>
      </c>
      <c r="E197" s="74" t="s">
        <v>11</v>
      </c>
      <c r="F197" s="74">
        <v>41963</v>
      </c>
      <c r="G197" s="77" t="s">
        <v>395</v>
      </c>
      <c r="H197" s="180"/>
      <c r="I197" s="92" t="s">
        <v>195</v>
      </c>
      <c r="J197" s="75">
        <v>1500000000</v>
      </c>
      <c r="K197" s="76" t="s">
        <v>34</v>
      </c>
      <c r="L197" s="76" t="s">
        <v>144</v>
      </c>
      <c r="M197" s="103" t="str">
        <f>IF(AND('331-CT'!$E$7=TH!I197,OR(K197="331",L197="331")),"x","")</f>
        <v/>
      </c>
      <c r="N197" s="103" t="str">
        <f>IF(AND($C197&gt;='1111'!$N$10,$C197&lt;='1111'!$O$10,OR($K197=$N$7,$L197=$N$7)),"x","")</f>
        <v/>
      </c>
      <c r="O197" s="103" t="str">
        <f>IF(AND($K197=$N$7,$C197&lt;'1111'!$N$10),"x","")</f>
        <v/>
      </c>
      <c r="P197" s="103" t="str">
        <f>IF(AND($L197=$N$7,$C197&lt;'1111'!$N$10),"x","")</f>
        <v/>
      </c>
      <c r="Q197" s="103" t="str">
        <f>IF(AND($C197&gt;='1121'!$N$9,$C197&lt;='1121'!$O$9,OR($K197=$Q$7,$L197=$Q$7)),"x","")</f>
        <v>x</v>
      </c>
      <c r="R197" s="103" t="str">
        <f>IF(AND($K197=$Q$7,$C197&lt;'1121'!$N$9),"x","")</f>
        <v/>
      </c>
      <c r="S197" s="103" t="str">
        <f>IF(AND($L197=$Q$7,$C197&lt;'1121'!$N$9),"x","")</f>
        <v/>
      </c>
      <c r="T197" s="103" t="str">
        <f>IF(AND($C197&gt;='1331'!$I$9,$C197&lt;='1331'!$J$9,OR($K197=$T$7,$L197=$T$7)),"x","")</f>
        <v/>
      </c>
      <c r="U197" s="103" t="str">
        <f>IF(AND($K197=$T$7,$C197&lt;'1331'!$I$9),"x","")</f>
        <v/>
      </c>
      <c r="V197" s="103" t="str">
        <f>IF(AND($L197=$T$7,$C197&lt;'1331'!$I$9),"x","")</f>
        <v/>
      </c>
      <c r="W197" s="103" t="str">
        <f>IF(AND('3411-CT'!$E$9=TH!I197,OR(TH!K197=TH!$W$7,L197=TH!$W$7)),"x","")</f>
        <v/>
      </c>
      <c r="X197" s="103" t="str">
        <f>IF(OR(TH!K197=TH!$X$7,L197=TH!$X$7),"x","")</f>
        <v/>
      </c>
    </row>
    <row r="198" spans="1:24">
      <c r="A198" s="178" t="str">
        <f>IF(E198&lt;&gt;"",IF(AND(B198='IN - TC'!$Q$4,OR(TH!K198="1111",TH!L198="1111")),TH!E198,""),"")</f>
        <v/>
      </c>
      <c r="B198" s="73">
        <f t="shared" si="14"/>
        <v>2014</v>
      </c>
      <c r="C198" s="73">
        <f t="shared" si="15"/>
        <v>11</v>
      </c>
      <c r="D198" s="74">
        <v>41968</v>
      </c>
      <c r="E198" s="74" t="s">
        <v>11</v>
      </c>
      <c r="F198" s="74">
        <v>41968</v>
      </c>
      <c r="G198" s="77" t="s">
        <v>66</v>
      </c>
      <c r="H198" s="180"/>
      <c r="I198" s="91"/>
      <c r="J198" s="75">
        <v>61267</v>
      </c>
      <c r="K198" s="76" t="s">
        <v>34</v>
      </c>
      <c r="L198" s="76" t="s">
        <v>67</v>
      </c>
      <c r="M198" s="103" t="str">
        <f>IF(AND('331-CT'!$E$7=TH!I198,OR(K198="331",L198="331")),"x","")</f>
        <v/>
      </c>
      <c r="N198" s="103" t="str">
        <f>IF(AND($C198&gt;='1111'!$N$10,$C198&lt;='1111'!$O$10,OR($K198=$N$7,$L198=$N$7)),"x","")</f>
        <v/>
      </c>
      <c r="O198" s="103" t="str">
        <f>IF(AND($K198=$N$7,$C198&lt;'1111'!$N$10),"x","")</f>
        <v/>
      </c>
      <c r="P198" s="103" t="str">
        <f>IF(AND($L198=$N$7,$C198&lt;'1111'!$N$10),"x","")</f>
        <v/>
      </c>
      <c r="Q198" s="103" t="str">
        <f>IF(AND($C198&gt;='1121'!$N$9,$C198&lt;='1121'!$O$9,OR($K198=$Q$7,$L198=$Q$7)),"x","")</f>
        <v>x</v>
      </c>
      <c r="R198" s="103" t="str">
        <f>IF(AND($K198=$Q$7,$C198&lt;'1121'!$N$9),"x","")</f>
        <v/>
      </c>
      <c r="S198" s="103" t="str">
        <f>IF(AND($L198=$Q$7,$C198&lt;'1121'!$N$9),"x","")</f>
        <v/>
      </c>
      <c r="T198" s="103" t="str">
        <f>IF(AND($C198&gt;='1331'!$I$9,$C198&lt;='1331'!$J$9,OR($K198=$T$7,$L198=$T$7)),"x","")</f>
        <v/>
      </c>
      <c r="U198" s="103" t="str">
        <f>IF(AND($K198=$T$7,$C198&lt;'1331'!$I$9),"x","")</f>
        <v/>
      </c>
      <c r="V198" s="103" t="str">
        <f>IF(AND($L198=$T$7,$C198&lt;'1331'!$I$9),"x","")</f>
        <v/>
      </c>
      <c r="W198" s="103" t="str">
        <f>IF(AND('3411-CT'!$E$9=TH!I198,OR(TH!K198=TH!$W$7,L198=TH!$W$7)),"x","")</f>
        <v/>
      </c>
      <c r="X198" s="103" t="str">
        <f>IF(OR(TH!K198=TH!$X$7,L198=TH!$X$7),"x","")</f>
        <v/>
      </c>
    </row>
    <row r="199" spans="1:24">
      <c r="A199" s="178" t="str">
        <f>IF(E199&lt;&gt;"",IF(AND(B199='IN - TC'!$Q$4,OR(TH!K199="1111",TH!L199="1111")),TH!E199,""),"")</f>
        <v/>
      </c>
      <c r="B199" s="73">
        <f t="shared" si="14"/>
        <v>2014</v>
      </c>
      <c r="C199" s="73">
        <f t="shared" si="15"/>
        <v>12</v>
      </c>
      <c r="D199" s="74">
        <v>41984</v>
      </c>
      <c r="E199" s="74" t="s">
        <v>8</v>
      </c>
      <c r="F199" s="74">
        <v>41984</v>
      </c>
      <c r="G199" s="77" t="s">
        <v>372</v>
      </c>
      <c r="H199" s="180"/>
      <c r="I199" s="91" t="s">
        <v>55</v>
      </c>
      <c r="J199" s="75">
        <v>1000000000</v>
      </c>
      <c r="K199" s="76" t="s">
        <v>9</v>
      </c>
      <c r="L199" s="76" t="s">
        <v>34</v>
      </c>
      <c r="M199" s="103" t="str">
        <f>IF(AND('331-CT'!$E$7=TH!I199,OR(K199="331",L199="331")),"x","")</f>
        <v/>
      </c>
      <c r="N199" s="103" t="str">
        <f>IF(AND($C199&gt;='1111'!$N$10,$C199&lt;='1111'!$O$10,OR($K199=$N$7,$L199=$N$7)),"x","")</f>
        <v/>
      </c>
      <c r="O199" s="103" t="str">
        <f>IF(AND($K199=$N$7,$C199&lt;'1111'!$N$10),"x","")</f>
        <v/>
      </c>
      <c r="P199" s="103" t="str">
        <f>IF(AND($L199=$N$7,$C199&lt;'1111'!$N$10),"x","")</f>
        <v/>
      </c>
      <c r="Q199" s="103" t="str">
        <f>IF(AND($C199&gt;='1121'!$N$9,$C199&lt;='1121'!$O$9,OR($K199=$Q$7,$L199=$Q$7)),"x","")</f>
        <v>x</v>
      </c>
      <c r="R199" s="103" t="str">
        <f>IF(AND($K199=$Q$7,$C199&lt;'1121'!$N$9),"x","")</f>
        <v/>
      </c>
      <c r="S199" s="103" t="str">
        <f>IF(AND($L199=$Q$7,$C199&lt;'1121'!$N$9),"x","")</f>
        <v/>
      </c>
      <c r="T199" s="103" t="str">
        <f>IF(AND($C199&gt;='1331'!$I$9,$C199&lt;='1331'!$J$9,OR($K199=$T$7,$L199=$T$7)),"x","")</f>
        <v/>
      </c>
      <c r="U199" s="103" t="str">
        <f>IF(AND($K199=$T$7,$C199&lt;'1331'!$I$9),"x","")</f>
        <v/>
      </c>
      <c r="V199" s="103" t="str">
        <f>IF(AND($L199=$T$7,$C199&lt;'1331'!$I$9),"x","")</f>
        <v/>
      </c>
      <c r="W199" s="103" t="str">
        <f>IF(AND('3411-CT'!$E$9=TH!I199,OR(TH!K199=TH!$W$7,L199=TH!$W$7)),"x","")</f>
        <v/>
      </c>
      <c r="X199" s="103" t="str">
        <f>IF(OR(TH!K199=TH!$X$7,L199=TH!$X$7),"x","")</f>
        <v/>
      </c>
    </row>
    <row r="200" spans="1:24">
      <c r="A200" s="178" t="str">
        <f>IF(E200&lt;&gt;"",IF(AND(B200='IN - TC'!$Q$4,OR(TH!K200="1111",TH!L200="1111")),TH!E200,""),"")</f>
        <v/>
      </c>
      <c r="B200" s="73">
        <f t="shared" si="14"/>
        <v>2014</v>
      </c>
      <c r="C200" s="73">
        <f t="shared" si="15"/>
        <v>12</v>
      </c>
      <c r="D200" s="74">
        <v>41984</v>
      </c>
      <c r="E200" s="74" t="s">
        <v>11</v>
      </c>
      <c r="F200" s="74">
        <v>41984</v>
      </c>
      <c r="G200" s="77" t="s">
        <v>396</v>
      </c>
      <c r="H200" s="180"/>
      <c r="I200" s="91" t="s">
        <v>197</v>
      </c>
      <c r="J200" s="75">
        <v>1000000000</v>
      </c>
      <c r="K200" s="76" t="s">
        <v>34</v>
      </c>
      <c r="L200" s="76" t="s">
        <v>144</v>
      </c>
      <c r="M200" s="103" t="str">
        <f>IF(AND('331-CT'!$E$7=TH!I200,OR(K200="331",L200="331")),"x","")</f>
        <v/>
      </c>
      <c r="N200" s="103" t="str">
        <f>IF(AND($C200&gt;='1111'!$N$10,$C200&lt;='1111'!$O$10,OR($K200=$N$7,$L200=$N$7)),"x","")</f>
        <v/>
      </c>
      <c r="O200" s="103" t="str">
        <f>IF(AND($K200=$N$7,$C200&lt;'1111'!$N$10),"x","")</f>
        <v/>
      </c>
      <c r="P200" s="103" t="str">
        <f>IF(AND($L200=$N$7,$C200&lt;'1111'!$N$10),"x","")</f>
        <v/>
      </c>
      <c r="Q200" s="103" t="str">
        <f>IF(AND($C200&gt;='1121'!$N$9,$C200&lt;='1121'!$O$9,OR($K200=$Q$7,$L200=$Q$7)),"x","")</f>
        <v>x</v>
      </c>
      <c r="R200" s="103" t="str">
        <f>IF(AND($K200=$Q$7,$C200&lt;'1121'!$N$9),"x","")</f>
        <v/>
      </c>
      <c r="S200" s="103" t="str">
        <f>IF(AND($L200=$Q$7,$C200&lt;'1121'!$N$9),"x","")</f>
        <v/>
      </c>
      <c r="T200" s="103" t="str">
        <f>IF(AND($C200&gt;='1331'!$I$9,$C200&lt;='1331'!$J$9,OR($K200=$T$7,$L200=$T$7)),"x","")</f>
        <v/>
      </c>
      <c r="U200" s="103" t="str">
        <f>IF(AND($K200=$T$7,$C200&lt;'1331'!$I$9),"x","")</f>
        <v/>
      </c>
      <c r="V200" s="103" t="str">
        <f>IF(AND($L200=$T$7,$C200&lt;'1331'!$I$9),"x","")</f>
        <v/>
      </c>
      <c r="W200" s="103" t="str">
        <f>IF(AND('3411-CT'!$E$9=TH!I200,OR(TH!K200=TH!$W$7,L200=TH!$W$7)),"x","")</f>
        <v/>
      </c>
      <c r="X200" s="103" t="str">
        <f>IF(OR(TH!K200=TH!$X$7,L200=TH!$X$7),"x","")</f>
        <v/>
      </c>
    </row>
    <row r="201" spans="1:24">
      <c r="A201" s="178" t="str">
        <f>IF(E201&lt;&gt;"",IF(AND(B201='IN - TC'!$Q$4,OR(TH!K201="1111",TH!L201="1111")),TH!E201,""),"")</f>
        <v/>
      </c>
      <c r="B201" s="73">
        <f t="shared" si="14"/>
        <v>2014</v>
      </c>
      <c r="C201" s="73">
        <f t="shared" si="15"/>
        <v>12</v>
      </c>
      <c r="D201" s="74">
        <v>41993</v>
      </c>
      <c r="E201" s="74" t="s">
        <v>8</v>
      </c>
      <c r="F201" s="74">
        <v>41993</v>
      </c>
      <c r="G201" s="77" t="s">
        <v>77</v>
      </c>
      <c r="H201" s="182"/>
      <c r="I201" s="91" t="s">
        <v>193</v>
      </c>
      <c r="J201" s="75">
        <v>8336805</v>
      </c>
      <c r="K201" s="105" t="s">
        <v>157</v>
      </c>
      <c r="L201" s="76" t="s">
        <v>34</v>
      </c>
      <c r="M201" s="103" t="str">
        <f>IF(AND('331-CT'!$E$7=TH!I201,OR(K201="331",L201="331")),"x","")</f>
        <v/>
      </c>
      <c r="N201" s="103" t="str">
        <f>IF(AND($C201&gt;='1111'!$N$10,$C201&lt;='1111'!$O$10,OR($K201=$N$7,$L201=$N$7)),"x","")</f>
        <v/>
      </c>
      <c r="O201" s="103" t="str">
        <f>IF(AND($K201=$N$7,$C201&lt;'1111'!$N$10),"x","")</f>
        <v/>
      </c>
      <c r="P201" s="103" t="str">
        <f>IF(AND($L201=$N$7,$C201&lt;'1111'!$N$10),"x","")</f>
        <v/>
      </c>
      <c r="Q201" s="103" t="str">
        <f>IF(AND($C201&gt;='1121'!$N$9,$C201&lt;='1121'!$O$9,OR($K201=$Q$7,$L201=$Q$7)),"x","")</f>
        <v>x</v>
      </c>
      <c r="R201" s="103" t="str">
        <f>IF(AND($K201=$Q$7,$C201&lt;'1121'!$N$9),"x","")</f>
        <v/>
      </c>
      <c r="S201" s="103" t="str">
        <f>IF(AND($L201=$Q$7,$C201&lt;'1121'!$N$9),"x","")</f>
        <v/>
      </c>
      <c r="T201" s="103" t="str">
        <f>IF(AND($C201&gt;='1331'!$I$9,$C201&lt;='1331'!$J$9,OR($K201=$T$7,$L201=$T$7)),"x","")</f>
        <v/>
      </c>
      <c r="U201" s="103" t="str">
        <f>IF(AND($K201=$T$7,$C201&lt;'1331'!$I$9),"x","")</f>
        <v/>
      </c>
      <c r="V201" s="103" t="str">
        <f>IF(AND($L201=$T$7,$C201&lt;'1331'!$I$9),"x","")</f>
        <v/>
      </c>
      <c r="W201" s="103" t="str">
        <f>IF(AND('3411-CT'!$E$9=TH!I201,OR(TH!K201=TH!$W$7,L201=TH!$W$7)),"x","")</f>
        <v/>
      </c>
      <c r="X201" s="103" t="str">
        <f>IF(OR(TH!K201=TH!$X$7,L201=TH!$X$7),"x","")</f>
        <v/>
      </c>
    </row>
    <row r="202" spans="1:24">
      <c r="A202" s="178" t="str">
        <f>IF(E202&lt;&gt;"",IF(AND(B202='IN - TC'!$Q$4,OR(TH!K202="1111",TH!L202="1111")),TH!E202,""),"")</f>
        <v/>
      </c>
      <c r="B202" s="73">
        <f t="shared" si="14"/>
        <v>2014</v>
      </c>
      <c r="C202" s="73">
        <f t="shared" si="15"/>
        <v>12</v>
      </c>
      <c r="D202" s="74">
        <v>41993</v>
      </c>
      <c r="E202" s="74" t="s">
        <v>8</v>
      </c>
      <c r="F202" s="74">
        <v>41993</v>
      </c>
      <c r="G202" s="77" t="s">
        <v>85</v>
      </c>
      <c r="H202" s="182"/>
      <c r="I202" s="91" t="s">
        <v>194</v>
      </c>
      <c r="J202" s="75">
        <v>16673611</v>
      </c>
      <c r="K202" s="105" t="s">
        <v>157</v>
      </c>
      <c r="L202" s="76" t="s">
        <v>34</v>
      </c>
      <c r="M202" s="103" t="str">
        <f>IF(AND('331-CT'!$E$7=TH!I202,OR(K202="331",L202="331")),"x","")</f>
        <v/>
      </c>
      <c r="N202" s="103" t="str">
        <f>IF(AND($C202&gt;='1111'!$N$10,$C202&lt;='1111'!$O$10,OR($K202=$N$7,$L202=$N$7)),"x","")</f>
        <v/>
      </c>
      <c r="O202" s="103" t="str">
        <f>IF(AND($K202=$N$7,$C202&lt;'1111'!$N$10),"x","")</f>
        <v/>
      </c>
      <c r="P202" s="103" t="str">
        <f>IF(AND($L202=$N$7,$C202&lt;'1111'!$N$10),"x","")</f>
        <v/>
      </c>
      <c r="Q202" s="103" t="str">
        <f>IF(AND($C202&gt;='1121'!$N$9,$C202&lt;='1121'!$O$9,OR($K202=$Q$7,$L202=$Q$7)),"x","")</f>
        <v>x</v>
      </c>
      <c r="R202" s="103" t="str">
        <f>IF(AND($K202=$Q$7,$C202&lt;'1121'!$N$9),"x","")</f>
        <v/>
      </c>
      <c r="S202" s="103" t="str">
        <f>IF(AND($L202=$Q$7,$C202&lt;'1121'!$N$9),"x","")</f>
        <v/>
      </c>
      <c r="T202" s="103" t="str">
        <f>IF(AND($C202&gt;='1331'!$I$9,$C202&lt;='1331'!$J$9,OR($K202=$T$7,$L202=$T$7)),"x","")</f>
        <v/>
      </c>
      <c r="U202" s="103" t="str">
        <f>IF(AND($K202=$T$7,$C202&lt;'1331'!$I$9),"x","")</f>
        <v/>
      </c>
      <c r="V202" s="103" t="str">
        <f>IF(AND($L202=$T$7,$C202&lt;'1331'!$I$9),"x","")</f>
        <v/>
      </c>
      <c r="W202" s="103" t="str">
        <f>IF(AND('3411-CT'!$E$9=TH!I202,OR(TH!K202=TH!$W$7,L202=TH!$W$7)),"x","")</f>
        <v/>
      </c>
      <c r="X202" s="103" t="str">
        <f>IF(OR(TH!K202=TH!$X$7,L202=TH!$X$7),"x","")</f>
        <v/>
      </c>
    </row>
    <row r="203" spans="1:24">
      <c r="A203" s="178" t="str">
        <f>IF(E203&lt;&gt;"",IF(AND(B203='IN - TC'!$Q$4,OR(TH!K203="1111",TH!L203="1111")),TH!E203,""),"")</f>
        <v/>
      </c>
      <c r="B203" s="73">
        <f t="shared" si="14"/>
        <v>2014</v>
      </c>
      <c r="C203" s="73">
        <f t="shared" si="15"/>
        <v>12</v>
      </c>
      <c r="D203" s="74">
        <v>41993</v>
      </c>
      <c r="E203" s="74" t="s">
        <v>8</v>
      </c>
      <c r="F203" s="74">
        <v>41993</v>
      </c>
      <c r="G203" s="77" t="s">
        <v>86</v>
      </c>
      <c r="H203" s="180"/>
      <c r="I203" s="9" t="s">
        <v>196</v>
      </c>
      <c r="J203" s="75">
        <v>25788519</v>
      </c>
      <c r="K203" s="76" t="s">
        <v>157</v>
      </c>
      <c r="L203" s="76" t="s">
        <v>34</v>
      </c>
      <c r="M203" s="103" t="str">
        <f>IF(AND('331-CT'!$E$7=TH!I203,OR(K203="331",L203="331")),"x","")</f>
        <v/>
      </c>
      <c r="N203" s="103" t="str">
        <f>IF(AND($C203&gt;='1111'!$N$10,$C203&lt;='1111'!$O$10,OR($K203=$N$7,$L203=$N$7)),"x","")</f>
        <v/>
      </c>
      <c r="O203" s="103" t="str">
        <f>IF(AND($K203=$N$7,$C203&lt;'1111'!$N$10),"x","")</f>
        <v/>
      </c>
      <c r="P203" s="103" t="str">
        <f>IF(AND($L203=$N$7,$C203&lt;'1111'!$N$10),"x","")</f>
        <v/>
      </c>
      <c r="Q203" s="103" t="str">
        <f>IF(AND($C203&gt;='1121'!$N$9,$C203&lt;='1121'!$O$9,OR($K203=$Q$7,$L203=$Q$7)),"x","")</f>
        <v>x</v>
      </c>
      <c r="R203" s="103" t="str">
        <f>IF(AND($K203=$Q$7,$C203&lt;'1121'!$N$9),"x","")</f>
        <v/>
      </c>
      <c r="S203" s="103" t="str">
        <f>IF(AND($L203=$Q$7,$C203&lt;'1121'!$N$9),"x","")</f>
        <v/>
      </c>
      <c r="T203" s="103" t="str">
        <f>IF(AND($C203&gt;='1331'!$I$9,$C203&lt;='1331'!$J$9,OR($K203=$T$7,$L203=$T$7)),"x","")</f>
        <v/>
      </c>
      <c r="U203" s="103" t="str">
        <f>IF(AND($K203=$T$7,$C203&lt;'1331'!$I$9),"x","")</f>
        <v/>
      </c>
      <c r="V203" s="103" t="str">
        <f>IF(AND($L203=$T$7,$C203&lt;'1331'!$I$9),"x","")</f>
        <v/>
      </c>
      <c r="W203" s="103" t="str">
        <f>IF(AND('3411-CT'!$E$9=TH!I203,OR(TH!K203=TH!$W$7,L203=TH!$W$7)),"x","")</f>
        <v/>
      </c>
      <c r="X203" s="103" t="str">
        <f>IF(OR(TH!K203=TH!$X$7,L203=TH!$X$7),"x","")</f>
        <v/>
      </c>
    </row>
    <row r="204" spans="1:24">
      <c r="A204" s="178" t="str">
        <f>IF(E204&lt;&gt;"",IF(AND(B204='IN - TC'!$Q$4,OR(TH!K204="1111",TH!L204="1111")),TH!E204,""),"")</f>
        <v>C19</v>
      </c>
      <c r="B204" s="73">
        <f t="shared" si="14"/>
        <v>2014</v>
      </c>
      <c r="C204" s="73">
        <f t="shared" si="15"/>
        <v>12</v>
      </c>
      <c r="D204" s="74">
        <v>41993</v>
      </c>
      <c r="E204" s="74" t="s">
        <v>100</v>
      </c>
      <c r="F204" s="74">
        <v>41993</v>
      </c>
      <c r="G204" s="77" t="s">
        <v>222</v>
      </c>
      <c r="H204" s="180"/>
      <c r="I204" s="91" t="s">
        <v>186</v>
      </c>
      <c r="J204" s="75">
        <v>51000000</v>
      </c>
      <c r="K204" s="76" t="s">
        <v>34</v>
      </c>
      <c r="L204" s="76" t="s">
        <v>120</v>
      </c>
      <c r="M204" s="103" t="str">
        <f>IF(AND('331-CT'!$E$7=TH!I204,OR(K204="331",L204="331")),"x","")</f>
        <v/>
      </c>
      <c r="N204" s="103" t="str">
        <f>IF(AND($C204&gt;='1111'!$N$10,$C204&lt;='1111'!$O$10,OR($K204=$N$7,$L204=$N$7)),"x","")</f>
        <v>x</v>
      </c>
      <c r="O204" s="103" t="str">
        <f>IF(AND($K204=$N$7,$C204&lt;'1111'!$N$10),"x","")</f>
        <v/>
      </c>
      <c r="P204" s="103" t="str">
        <f>IF(AND($L204=$N$7,$C204&lt;'1111'!$N$10),"x","")</f>
        <v/>
      </c>
      <c r="Q204" s="103" t="str">
        <f>IF(AND($C204&gt;='1121'!$N$9,$C204&lt;='1121'!$O$9,OR($K204=$Q$7,$L204=$Q$7)),"x","")</f>
        <v>x</v>
      </c>
      <c r="R204" s="103" t="str">
        <f>IF(AND($K204=$Q$7,$C204&lt;'1121'!$N$9),"x","")</f>
        <v/>
      </c>
      <c r="S204" s="103" t="str">
        <f>IF(AND($L204=$Q$7,$C204&lt;'1121'!$N$9),"x","")</f>
        <v/>
      </c>
      <c r="T204" s="103" t="str">
        <f>IF(AND($C204&gt;='1331'!$I$9,$C204&lt;='1331'!$J$9,OR($K204=$T$7,$L204=$T$7)),"x","")</f>
        <v/>
      </c>
      <c r="U204" s="103" t="str">
        <f>IF(AND($K204=$T$7,$C204&lt;'1331'!$I$9),"x","")</f>
        <v/>
      </c>
      <c r="V204" s="103" t="str">
        <f>IF(AND($L204=$T$7,$C204&lt;'1331'!$I$9),"x","")</f>
        <v/>
      </c>
      <c r="W204" s="103" t="str">
        <f>IF(AND('3411-CT'!$E$9=TH!I204,OR(TH!K204=TH!$W$7,L204=TH!$W$7)),"x","")</f>
        <v/>
      </c>
      <c r="X204" s="103" t="str">
        <f>IF(OR(TH!K204=TH!$X$7,L204=TH!$X$7),"x","")</f>
        <v/>
      </c>
    </row>
    <row r="205" spans="1:24">
      <c r="A205" s="178" t="str">
        <f>IF(E205&lt;&gt;"",IF(AND(B205='IN - TC'!$Q$4,OR(TH!K205="1111",TH!L205="1111")),TH!E205,""),"")</f>
        <v/>
      </c>
      <c r="B205" s="73">
        <f t="shared" si="14"/>
        <v>2014</v>
      </c>
      <c r="C205" s="73">
        <f t="shared" si="15"/>
        <v>12</v>
      </c>
      <c r="D205" s="74">
        <v>41996</v>
      </c>
      <c r="E205" s="74" t="s">
        <v>8</v>
      </c>
      <c r="F205" s="74">
        <v>41996</v>
      </c>
      <c r="G205" s="77" t="s">
        <v>29</v>
      </c>
      <c r="H205" s="180"/>
      <c r="I205" s="91"/>
      <c r="J205" s="75">
        <v>50000</v>
      </c>
      <c r="K205" s="76" t="s">
        <v>159</v>
      </c>
      <c r="L205" s="76" t="s">
        <v>34</v>
      </c>
      <c r="M205" s="103" t="str">
        <f>IF(AND('331-CT'!$E$7=TH!I205,OR(K205="331",L205="331")),"x","")</f>
        <v/>
      </c>
      <c r="N205" s="103" t="str">
        <f>IF(AND($C205&gt;='1111'!$N$10,$C205&lt;='1111'!$O$10,OR($K205=$N$7,$L205=$N$7)),"x","")</f>
        <v/>
      </c>
      <c r="O205" s="103" t="str">
        <f>IF(AND($K205=$N$7,$C205&lt;'1111'!$N$10),"x","")</f>
        <v/>
      </c>
      <c r="P205" s="103" t="str">
        <f>IF(AND($L205=$N$7,$C205&lt;'1111'!$N$10),"x","")</f>
        <v/>
      </c>
      <c r="Q205" s="103" t="str">
        <f>IF(AND($C205&gt;='1121'!$N$9,$C205&lt;='1121'!$O$9,OR($K205=$Q$7,$L205=$Q$7)),"x","")</f>
        <v>x</v>
      </c>
      <c r="R205" s="103" t="str">
        <f>IF(AND($K205=$Q$7,$C205&lt;'1121'!$N$9),"x","")</f>
        <v/>
      </c>
      <c r="S205" s="103" t="str">
        <f>IF(AND($L205=$Q$7,$C205&lt;'1121'!$N$9),"x","")</f>
        <v/>
      </c>
      <c r="T205" s="103" t="str">
        <f>IF(AND($C205&gt;='1331'!$I$9,$C205&lt;='1331'!$J$9,OR($K205=$T$7,$L205=$T$7)),"x","")</f>
        <v/>
      </c>
      <c r="U205" s="103" t="str">
        <f>IF(AND($K205=$T$7,$C205&lt;'1331'!$I$9),"x","")</f>
        <v/>
      </c>
      <c r="V205" s="103" t="str">
        <f>IF(AND($L205=$T$7,$C205&lt;'1331'!$I$9),"x","")</f>
        <v/>
      </c>
      <c r="W205" s="103" t="str">
        <f>IF(AND('3411-CT'!$E$9=TH!I205,OR(TH!K205=TH!$W$7,L205=TH!$W$7)),"x","")</f>
        <v/>
      </c>
      <c r="X205" s="103" t="str">
        <f>IF(OR(TH!K205=TH!$X$7,L205=TH!$X$7),"x","")</f>
        <v/>
      </c>
    </row>
    <row r="206" spans="1:24">
      <c r="A206" s="178" t="str">
        <f>IF(E206&lt;&gt;"",IF(AND(B206='IN - TC'!$Q$4,OR(TH!K206="1111",TH!L206="1111")),TH!E206,""),"")</f>
        <v/>
      </c>
      <c r="B206" s="73">
        <f t="shared" si="14"/>
        <v>2014</v>
      </c>
      <c r="C206" s="73">
        <f t="shared" si="15"/>
        <v>12</v>
      </c>
      <c r="D206" s="74">
        <v>41996</v>
      </c>
      <c r="E206" s="74" t="s">
        <v>8</v>
      </c>
      <c r="F206" s="74">
        <v>41996</v>
      </c>
      <c r="G206" s="77" t="s">
        <v>26</v>
      </c>
      <c r="H206" s="180"/>
      <c r="I206" s="9"/>
      <c r="J206" s="75">
        <v>5000</v>
      </c>
      <c r="K206" s="76" t="s">
        <v>10</v>
      </c>
      <c r="L206" s="76" t="s">
        <v>34</v>
      </c>
      <c r="M206" s="103" t="str">
        <f>IF(AND('331-CT'!$E$7=TH!I206,OR(K206="331",L206="331")),"x","")</f>
        <v/>
      </c>
      <c r="N206" s="103" t="str">
        <f>IF(AND($C206&gt;='1111'!$N$10,$C206&lt;='1111'!$O$10,OR($K206=$N$7,$L206=$N$7)),"x","")</f>
        <v/>
      </c>
      <c r="O206" s="103" t="str">
        <f>IF(AND($K206=$N$7,$C206&lt;'1111'!$N$10),"x","")</f>
        <v/>
      </c>
      <c r="P206" s="103" t="str">
        <f>IF(AND($L206=$N$7,$C206&lt;'1111'!$N$10),"x","")</f>
        <v/>
      </c>
      <c r="Q206" s="103" t="str">
        <f>IF(AND($C206&gt;='1121'!$N$9,$C206&lt;='1121'!$O$9,OR($K206=$Q$7,$L206=$Q$7)),"x","")</f>
        <v>x</v>
      </c>
      <c r="R206" s="103" t="str">
        <f>IF(AND($K206=$Q$7,$C206&lt;'1121'!$N$9),"x","")</f>
        <v/>
      </c>
      <c r="S206" s="103" t="str">
        <f>IF(AND($L206=$Q$7,$C206&lt;'1121'!$N$9),"x","")</f>
        <v/>
      </c>
      <c r="T206" s="103" t="str">
        <f>IF(AND($C206&gt;='1331'!$I$9,$C206&lt;='1331'!$J$9,OR($K206=$T$7,$L206=$T$7)),"x","")</f>
        <v/>
      </c>
      <c r="U206" s="103" t="str">
        <f>IF(AND($K206=$T$7,$C206&lt;'1331'!$I$9),"x","")</f>
        <v/>
      </c>
      <c r="V206" s="103" t="str">
        <f>IF(AND($L206=$T$7,$C206&lt;'1331'!$I$9),"x","")</f>
        <v/>
      </c>
      <c r="W206" s="103" t="str">
        <f>IF(AND('3411-CT'!$E$9=TH!I206,OR(TH!K206=TH!$W$7,L206=TH!$W$7)),"x","")</f>
        <v/>
      </c>
      <c r="X206" s="103" t="str">
        <f>IF(OR(TH!K206=TH!$X$7,L206=TH!$X$7),"x","")</f>
        <v/>
      </c>
    </row>
    <row r="207" spans="1:24">
      <c r="A207" s="178" t="str">
        <f>IF(E207&lt;&gt;"",IF(AND(B207='IN - TC'!$Q$4,OR(TH!K207="1111",TH!L207="1111")),TH!E207,""),"")</f>
        <v/>
      </c>
      <c r="B207" s="73">
        <f t="shared" si="14"/>
        <v>2014</v>
      </c>
      <c r="C207" s="73">
        <f t="shared" si="15"/>
        <v>12</v>
      </c>
      <c r="D207" s="74">
        <v>41996</v>
      </c>
      <c r="E207" s="74" t="s">
        <v>8</v>
      </c>
      <c r="F207" s="74">
        <v>41996</v>
      </c>
      <c r="G207" s="77" t="s">
        <v>346</v>
      </c>
      <c r="H207" s="180"/>
      <c r="I207" s="91"/>
      <c r="J207" s="75">
        <v>50000</v>
      </c>
      <c r="K207" s="76" t="s">
        <v>159</v>
      </c>
      <c r="L207" s="76" t="s">
        <v>34</v>
      </c>
      <c r="M207" s="103" t="str">
        <f>IF(AND('331-CT'!$E$7=TH!I207,OR(K207="331",L207="331")),"x","")</f>
        <v/>
      </c>
      <c r="N207" s="103" t="str">
        <f>IF(AND($C207&gt;='1111'!$N$10,$C207&lt;='1111'!$O$10,OR($K207=$N$7,$L207=$N$7)),"x","")</f>
        <v/>
      </c>
      <c r="O207" s="103" t="str">
        <f>IF(AND($K207=$N$7,$C207&lt;'1111'!$N$10),"x","")</f>
        <v/>
      </c>
      <c r="P207" s="103" t="str">
        <f>IF(AND($L207=$N$7,$C207&lt;'1111'!$N$10),"x","")</f>
        <v/>
      </c>
      <c r="Q207" s="103" t="str">
        <f>IF(AND($C207&gt;='1121'!$N$9,$C207&lt;='1121'!$O$9,OR($K207=$Q$7,$L207=$Q$7)),"x","")</f>
        <v>x</v>
      </c>
      <c r="R207" s="103" t="str">
        <f>IF(AND($K207=$Q$7,$C207&lt;'1121'!$N$9),"x","")</f>
        <v/>
      </c>
      <c r="S207" s="103" t="str">
        <f>IF(AND($L207=$Q$7,$C207&lt;'1121'!$N$9),"x","")</f>
        <v/>
      </c>
      <c r="T207" s="103" t="str">
        <f>IF(AND($C207&gt;='1331'!$I$9,$C207&lt;='1331'!$J$9,OR($K207=$T$7,$L207=$T$7)),"x","")</f>
        <v/>
      </c>
      <c r="U207" s="103" t="str">
        <f>IF(AND($K207=$T$7,$C207&lt;'1331'!$I$9),"x","")</f>
        <v/>
      </c>
      <c r="V207" s="103" t="str">
        <f>IF(AND($L207=$T$7,$C207&lt;'1331'!$I$9),"x","")</f>
        <v/>
      </c>
      <c r="W207" s="103" t="str">
        <f>IF(AND('3411-CT'!$E$9=TH!I207,OR(TH!K207=TH!$W$7,L207=TH!$W$7)),"x","")</f>
        <v/>
      </c>
      <c r="X207" s="103" t="str">
        <f>IF(OR(TH!K207=TH!$X$7,L207=TH!$X$7),"x","")</f>
        <v/>
      </c>
    </row>
    <row r="208" spans="1:24">
      <c r="A208" s="178" t="str">
        <f>IF(E208&lt;&gt;"",IF(AND(B208='IN - TC'!$Q$4,OR(TH!K208="1111",TH!L208="1111")),TH!E208,""),"")</f>
        <v/>
      </c>
      <c r="B208" s="73">
        <f t="shared" si="14"/>
        <v>2014</v>
      </c>
      <c r="C208" s="73">
        <f t="shared" si="15"/>
        <v>12</v>
      </c>
      <c r="D208" s="74">
        <v>41996</v>
      </c>
      <c r="E208" s="74" t="s">
        <v>8</v>
      </c>
      <c r="F208" s="74">
        <v>41996</v>
      </c>
      <c r="G208" s="77" t="s">
        <v>26</v>
      </c>
      <c r="H208" s="180"/>
      <c r="I208" s="91"/>
      <c r="J208" s="75">
        <v>5000</v>
      </c>
      <c r="K208" s="76" t="s">
        <v>10</v>
      </c>
      <c r="L208" s="76" t="s">
        <v>34</v>
      </c>
      <c r="M208" s="103" t="str">
        <f>IF(AND('331-CT'!$E$7=TH!I208,OR(K208="331",L208="331")),"x","")</f>
        <v/>
      </c>
      <c r="N208" s="103" t="str">
        <f>IF(AND($C208&gt;='1111'!$N$10,$C208&lt;='1111'!$O$10,OR($K208=$N$7,$L208=$N$7)),"x","")</f>
        <v/>
      </c>
      <c r="O208" s="103" t="str">
        <f>IF(AND($K208=$N$7,$C208&lt;'1111'!$N$10),"x","")</f>
        <v/>
      </c>
      <c r="P208" s="103" t="str">
        <f>IF(AND($L208=$N$7,$C208&lt;'1111'!$N$10),"x","")</f>
        <v/>
      </c>
      <c r="Q208" s="103" t="str">
        <f>IF(AND($C208&gt;='1121'!$N$9,$C208&lt;='1121'!$O$9,OR($K208=$Q$7,$L208=$Q$7)),"x","")</f>
        <v>x</v>
      </c>
      <c r="R208" s="103" t="str">
        <f>IF(AND($K208=$Q$7,$C208&lt;'1121'!$N$9),"x","")</f>
        <v/>
      </c>
      <c r="S208" s="103" t="str">
        <f>IF(AND($L208=$Q$7,$C208&lt;'1121'!$N$9),"x","")</f>
        <v/>
      </c>
      <c r="T208" s="103" t="str">
        <f>IF(AND($C208&gt;='1331'!$I$9,$C208&lt;='1331'!$J$9,OR($K208=$T$7,$L208=$T$7)),"x","")</f>
        <v/>
      </c>
      <c r="U208" s="103" t="str">
        <f>IF(AND($K208=$T$7,$C208&lt;'1331'!$I$9),"x","")</f>
        <v/>
      </c>
      <c r="V208" s="103" t="str">
        <f>IF(AND($L208=$T$7,$C208&lt;'1331'!$I$9),"x","")</f>
        <v/>
      </c>
      <c r="W208" s="103" t="str">
        <f>IF(AND('3411-CT'!$E$9=TH!I208,OR(TH!K208=TH!$W$7,L208=TH!$W$7)),"x","")</f>
        <v/>
      </c>
      <c r="X208" s="103" t="str">
        <f>IF(OR(TH!K208=TH!$X$7,L208=TH!$X$7),"x","")</f>
        <v/>
      </c>
    </row>
    <row r="209" spans="1:24">
      <c r="A209" s="178" t="str">
        <f>IF(E209&lt;&gt;"",IF(AND(B209='IN - TC'!$Q$4,OR(TH!K209="1111",TH!L209="1111")),TH!E209,""),"")</f>
        <v/>
      </c>
      <c r="B209" s="73">
        <f t="shared" ref="B209:B214" si="18">IF(D209&lt;&gt;"",YEAR(D209),"")</f>
        <v>2014</v>
      </c>
      <c r="C209" s="73">
        <f t="shared" ref="C209:C214" si="19">IF(D209&lt;&gt;"",MONTH(D209),"")</f>
        <v>12</v>
      </c>
      <c r="D209" s="74">
        <v>41996</v>
      </c>
      <c r="E209" s="74" t="s">
        <v>8</v>
      </c>
      <c r="F209" s="74">
        <v>41996</v>
      </c>
      <c r="G209" s="77" t="s">
        <v>28</v>
      </c>
      <c r="H209" s="182"/>
      <c r="I209" s="91"/>
      <c r="J209" s="75">
        <v>50000</v>
      </c>
      <c r="K209" s="76" t="s">
        <v>159</v>
      </c>
      <c r="L209" s="76" t="s">
        <v>34</v>
      </c>
      <c r="M209" s="103" t="str">
        <f>IF(AND('331-CT'!$E$7=TH!I209,OR(K209="331",L209="331")),"x","")</f>
        <v/>
      </c>
      <c r="N209" s="103" t="str">
        <f>IF(AND($C209&gt;='1111'!$N$10,$C209&lt;='1111'!$O$10,OR($K209=$N$7,$L209=$N$7)),"x","")</f>
        <v/>
      </c>
      <c r="O209" s="103" t="str">
        <f>IF(AND($K209=$N$7,$C209&lt;'1111'!$N$10),"x","")</f>
        <v/>
      </c>
      <c r="P209" s="103" t="str">
        <f>IF(AND($L209=$N$7,$C209&lt;'1111'!$N$10),"x","")</f>
        <v/>
      </c>
      <c r="Q209" s="103" t="str">
        <f>IF(AND($C209&gt;='1121'!$N$9,$C209&lt;='1121'!$O$9,OR($K209=$Q$7,$L209=$Q$7)),"x","")</f>
        <v>x</v>
      </c>
      <c r="R209" s="103" t="str">
        <f>IF(AND($K209=$Q$7,$C209&lt;'1121'!$N$9),"x","")</f>
        <v/>
      </c>
      <c r="S209" s="103" t="str">
        <f>IF(AND($L209=$Q$7,$C209&lt;'1121'!$N$9),"x","")</f>
        <v/>
      </c>
      <c r="T209" s="103" t="str">
        <f>IF(AND($C209&gt;='1331'!$I$9,$C209&lt;='1331'!$J$9,OR($K209=$T$7,$L209=$T$7)),"x","")</f>
        <v/>
      </c>
      <c r="U209" s="103" t="str">
        <f>IF(AND($K209=$T$7,$C209&lt;'1331'!$I$9),"x","")</f>
        <v/>
      </c>
      <c r="V209" s="103" t="str">
        <f>IF(AND($L209=$T$7,$C209&lt;'1331'!$I$9),"x","")</f>
        <v/>
      </c>
      <c r="W209" s="103" t="str">
        <f>IF(AND('3411-CT'!$E$9=TH!I209,OR(TH!K209=TH!$W$7,L209=TH!$W$7)),"x","")</f>
        <v/>
      </c>
      <c r="X209" s="103" t="str">
        <f>IF(OR(TH!K209=TH!$X$7,L209=TH!$X$7),"x","")</f>
        <v/>
      </c>
    </row>
    <row r="210" spans="1:24">
      <c r="A210" s="178" t="str">
        <f>IF(E210&lt;&gt;"",IF(AND(B210='IN - TC'!$Q$4,OR(TH!K210="1111",TH!L210="1111")),TH!E210,""),"")</f>
        <v/>
      </c>
      <c r="B210" s="73">
        <f t="shared" si="18"/>
        <v>2014</v>
      </c>
      <c r="C210" s="73">
        <f t="shared" si="19"/>
        <v>12</v>
      </c>
      <c r="D210" s="74">
        <v>41996</v>
      </c>
      <c r="E210" s="74" t="s">
        <v>8</v>
      </c>
      <c r="F210" s="74">
        <v>41996</v>
      </c>
      <c r="G210" s="77" t="s">
        <v>26</v>
      </c>
      <c r="H210" s="182"/>
      <c r="I210" s="91"/>
      <c r="J210" s="75">
        <v>5000</v>
      </c>
      <c r="K210" s="76" t="s">
        <v>10</v>
      </c>
      <c r="L210" s="76" t="s">
        <v>34</v>
      </c>
      <c r="M210" s="103" t="str">
        <f>IF(AND('331-CT'!$E$7=TH!I210,OR(K210="331",L210="331")),"x","")</f>
        <v/>
      </c>
      <c r="N210" s="103" t="str">
        <f>IF(AND($C210&gt;='1111'!$N$10,$C210&lt;='1111'!$O$10,OR($K210=$N$7,$L210=$N$7)),"x","")</f>
        <v/>
      </c>
      <c r="O210" s="103" t="str">
        <f>IF(AND($K210=$N$7,$C210&lt;'1111'!$N$10),"x","")</f>
        <v/>
      </c>
      <c r="P210" s="103" t="str">
        <f>IF(AND($L210=$N$7,$C210&lt;'1111'!$N$10),"x","")</f>
        <v/>
      </c>
      <c r="Q210" s="103" t="str">
        <f>IF(AND($C210&gt;='1121'!$N$9,$C210&lt;='1121'!$O$9,OR($K210=$Q$7,$L210=$Q$7)),"x","")</f>
        <v>x</v>
      </c>
      <c r="R210" s="103" t="str">
        <f>IF(AND($K210=$Q$7,$C210&lt;'1121'!$N$9),"x","")</f>
        <v/>
      </c>
      <c r="S210" s="103" t="str">
        <f>IF(AND($L210=$Q$7,$C210&lt;'1121'!$N$9),"x","")</f>
        <v/>
      </c>
      <c r="T210" s="103" t="str">
        <f>IF(AND($C210&gt;='1331'!$I$9,$C210&lt;='1331'!$J$9,OR($K210=$T$7,$L210=$T$7)),"x","")</f>
        <v/>
      </c>
      <c r="U210" s="103" t="str">
        <f>IF(AND($K210=$T$7,$C210&lt;'1331'!$I$9),"x","")</f>
        <v/>
      </c>
      <c r="V210" s="103" t="str">
        <f>IF(AND($L210=$T$7,$C210&lt;'1331'!$I$9),"x","")</f>
        <v/>
      </c>
      <c r="W210" s="103" t="str">
        <f>IF(AND('3411-CT'!$E$9=TH!I210,OR(TH!K210=TH!$W$7,L210=TH!$W$7)),"x","")</f>
        <v/>
      </c>
      <c r="X210" s="103" t="str">
        <f>IF(OR(TH!K210=TH!$X$7,L210=TH!$X$7),"x","")</f>
        <v/>
      </c>
    </row>
    <row r="211" spans="1:24">
      <c r="A211" s="178" t="str">
        <f>IF(E211&lt;&gt;"",IF(AND(B211='IN - TC'!$Q$4,OR(TH!K211="1111",TH!L211="1111")),TH!E211,""),"")</f>
        <v/>
      </c>
      <c r="B211" s="73">
        <f t="shared" si="18"/>
        <v>2014</v>
      </c>
      <c r="C211" s="73">
        <f t="shared" si="19"/>
        <v>12</v>
      </c>
      <c r="D211" s="74">
        <v>41998</v>
      </c>
      <c r="E211" s="74" t="s">
        <v>11</v>
      </c>
      <c r="F211" s="74">
        <v>41998</v>
      </c>
      <c r="G211" s="77" t="s">
        <v>66</v>
      </c>
      <c r="H211" s="182"/>
      <c r="I211" s="91"/>
      <c r="J211" s="75">
        <v>125079</v>
      </c>
      <c r="K211" s="76" t="s">
        <v>34</v>
      </c>
      <c r="L211" s="76" t="s">
        <v>67</v>
      </c>
      <c r="M211" s="103" t="str">
        <f>IF(AND('331-CT'!$E$7=TH!I211,OR(K211="331",L211="331")),"x","")</f>
        <v/>
      </c>
      <c r="N211" s="103" t="str">
        <f>IF(AND($C211&gt;='1111'!$N$10,$C211&lt;='1111'!$O$10,OR($K211=$N$7,$L211=$N$7)),"x","")</f>
        <v/>
      </c>
      <c r="O211" s="103" t="str">
        <f>IF(AND($K211=$N$7,$C211&lt;'1111'!$N$10),"x","")</f>
        <v/>
      </c>
      <c r="P211" s="103" t="str">
        <f>IF(AND($L211=$N$7,$C211&lt;'1111'!$N$10),"x","")</f>
        <v/>
      </c>
      <c r="Q211" s="103" t="str">
        <f>IF(AND($C211&gt;='1121'!$N$9,$C211&lt;='1121'!$O$9,OR($K211=$Q$7,$L211=$Q$7)),"x","")</f>
        <v>x</v>
      </c>
      <c r="R211" s="103" t="str">
        <f>IF(AND($K211=$Q$7,$C211&lt;'1121'!$N$9),"x","")</f>
        <v/>
      </c>
      <c r="S211" s="103" t="str">
        <f>IF(AND($L211=$Q$7,$C211&lt;'1121'!$N$9),"x","")</f>
        <v/>
      </c>
      <c r="T211" s="103" t="str">
        <f>IF(AND($C211&gt;='1331'!$I$9,$C211&lt;='1331'!$J$9,OR($K211=$T$7,$L211=$T$7)),"x","")</f>
        <v/>
      </c>
      <c r="U211" s="103" t="str">
        <f>IF(AND($K211=$T$7,$C211&lt;'1331'!$I$9),"x","")</f>
        <v/>
      </c>
      <c r="V211" s="103" t="str">
        <f>IF(AND($L211=$T$7,$C211&lt;'1331'!$I$9),"x","")</f>
        <v/>
      </c>
      <c r="W211" s="103" t="str">
        <f>IF(AND('3411-CT'!$E$9=TH!I211,OR(TH!K211=TH!$W$7,L211=TH!$W$7)),"x","")</f>
        <v/>
      </c>
      <c r="X211" s="103" t="str">
        <f>IF(OR(TH!K211=TH!$X$7,L211=TH!$X$7),"x","")</f>
        <v/>
      </c>
    </row>
    <row r="212" spans="1:24">
      <c r="A212" s="178" t="str">
        <f>IF(E212&lt;&gt;"",IF(AND(B212='IN - TC'!$Q$4,OR(TH!K212="1111",TH!L212="1111")),TH!E212,""),"")</f>
        <v>C20</v>
      </c>
      <c r="B212" s="73">
        <f t="shared" si="18"/>
        <v>2014</v>
      </c>
      <c r="C212" s="73">
        <f t="shared" si="19"/>
        <v>12</v>
      </c>
      <c r="D212" s="74">
        <v>42003</v>
      </c>
      <c r="E212" s="74" t="s">
        <v>101</v>
      </c>
      <c r="F212" s="74">
        <v>42003</v>
      </c>
      <c r="G212" s="77" t="s">
        <v>222</v>
      </c>
      <c r="H212" s="182"/>
      <c r="I212" s="91" t="s">
        <v>186</v>
      </c>
      <c r="J212" s="75">
        <v>1000000</v>
      </c>
      <c r="K212" s="76" t="s">
        <v>34</v>
      </c>
      <c r="L212" s="76" t="s">
        <v>120</v>
      </c>
      <c r="M212" s="103" t="str">
        <f>IF(AND('331-CT'!$E$7=TH!I212,OR(K212="331",L212="331")),"x","")</f>
        <v/>
      </c>
      <c r="N212" s="103" t="str">
        <f>IF(AND($C212&gt;='1111'!$N$10,$C212&lt;='1111'!$O$10,OR($K212=$N$7,$L212=$N$7)),"x","")</f>
        <v>x</v>
      </c>
      <c r="O212" s="103" t="str">
        <f>IF(AND($K212=$N$7,$C212&lt;'1111'!$N$10),"x","")</f>
        <v/>
      </c>
      <c r="P212" s="103" t="str">
        <f>IF(AND($L212=$N$7,$C212&lt;'1111'!$N$10),"x","")</f>
        <v/>
      </c>
      <c r="Q212" s="103" t="str">
        <f>IF(AND($C212&gt;='1121'!$N$9,$C212&lt;='1121'!$O$9,OR($K212=$Q$7,$L212=$Q$7)),"x","")</f>
        <v>x</v>
      </c>
      <c r="R212" s="103" t="str">
        <f>IF(AND($K212=$Q$7,$C212&lt;'1121'!$N$9),"x","")</f>
        <v/>
      </c>
      <c r="S212" s="103" t="str">
        <f>IF(AND($L212=$Q$7,$C212&lt;'1121'!$N$9),"x","")</f>
        <v/>
      </c>
      <c r="T212" s="103" t="str">
        <f>IF(AND($C212&gt;='1331'!$I$9,$C212&lt;='1331'!$J$9,OR($K212=$T$7,$L212=$T$7)),"x","")</f>
        <v/>
      </c>
      <c r="U212" s="103" t="str">
        <f>IF(AND($K212=$T$7,$C212&lt;'1331'!$I$9),"x","")</f>
        <v/>
      </c>
      <c r="V212" s="103" t="str">
        <f>IF(AND($L212=$T$7,$C212&lt;'1331'!$I$9),"x","")</f>
        <v/>
      </c>
      <c r="W212" s="103" t="str">
        <f>IF(AND('3411-CT'!$E$9=TH!I212,OR(TH!K212=TH!$W$7,L212=TH!$W$7)),"x","")</f>
        <v/>
      </c>
      <c r="X212" s="103" t="str">
        <f>IF(OR(TH!K212=TH!$X$7,L212=TH!$X$7),"x","")</f>
        <v/>
      </c>
    </row>
    <row r="213" spans="1:24">
      <c r="A213" s="178" t="str">
        <f>IF(E213&lt;&gt;"",IF(AND(B213='IN - TC'!$Q$4,OR(TH!K213="1111",TH!L213="1111")),TH!E213,""),"")</f>
        <v/>
      </c>
      <c r="B213" s="73">
        <f t="shared" si="18"/>
        <v>2014</v>
      </c>
      <c r="C213" s="73">
        <f t="shared" si="19"/>
        <v>12</v>
      </c>
      <c r="D213" s="74">
        <v>42004</v>
      </c>
      <c r="E213" s="74" t="s">
        <v>8</v>
      </c>
      <c r="F213" s="74">
        <v>42004</v>
      </c>
      <c r="G213" s="77" t="s">
        <v>21</v>
      </c>
      <c r="H213" s="106"/>
      <c r="I213" s="9"/>
      <c r="J213" s="75">
        <v>500000</v>
      </c>
      <c r="K213" s="76" t="s">
        <v>159</v>
      </c>
      <c r="L213" s="76" t="s">
        <v>34</v>
      </c>
      <c r="M213" s="103" t="str">
        <f>IF(AND('331-CT'!$E$7=TH!I213,OR(K213="331",L213="331")),"x","")</f>
        <v/>
      </c>
      <c r="N213" s="103" t="str">
        <f>IF(AND($C213&gt;='1111'!$N$10,$C213&lt;='1111'!$O$10,OR($K213=$N$7,$L213=$N$7)),"x","")</f>
        <v/>
      </c>
      <c r="O213" s="103" t="str">
        <f>IF(AND($K213=$N$7,$C213&lt;'1111'!$N$10),"x","")</f>
        <v/>
      </c>
      <c r="P213" s="103" t="str">
        <f>IF(AND($L213=$N$7,$C213&lt;'1111'!$N$10),"x","")</f>
        <v/>
      </c>
      <c r="Q213" s="103" t="str">
        <f>IF(AND($C213&gt;='1121'!$N$9,$C213&lt;='1121'!$O$9,OR($K213=$Q$7,$L213=$Q$7)),"x","")</f>
        <v>x</v>
      </c>
      <c r="R213" s="103" t="str">
        <f>IF(AND($K213=$Q$7,$C213&lt;'1121'!$N$9),"x","")</f>
        <v/>
      </c>
      <c r="S213" s="103" t="str">
        <f>IF(AND($L213=$Q$7,$C213&lt;'1121'!$N$9),"x","")</f>
        <v/>
      </c>
      <c r="T213" s="103" t="str">
        <f>IF(AND($C213&gt;='1331'!$I$9,$C213&lt;='1331'!$J$9,OR($K213=$T$7,$L213=$T$7)),"x","")</f>
        <v/>
      </c>
      <c r="U213" s="103" t="str">
        <f>IF(AND($K213=$T$7,$C213&lt;'1331'!$I$9),"x","")</f>
        <v/>
      </c>
      <c r="V213" s="103" t="str">
        <f>IF(AND($L213=$T$7,$C213&lt;'1331'!$I$9),"x","")</f>
        <v/>
      </c>
      <c r="W213" s="103" t="str">
        <f>IF(AND('3411-CT'!$E$9=TH!I213,OR(TH!K213=TH!$W$7,L213=TH!$W$7)),"x","")</f>
        <v/>
      </c>
      <c r="X213" s="103" t="str">
        <f>IF(OR(TH!K213=TH!$X$7,L213=TH!$X$7),"x","")</f>
        <v/>
      </c>
    </row>
    <row r="214" spans="1:24">
      <c r="A214" s="178" t="str">
        <f>IF(E214&lt;&gt;"",IF(AND(B214='IN - TC'!$Q$4,OR(TH!K214="1111",TH!L214="1111")),TH!E214,""),"")</f>
        <v/>
      </c>
      <c r="B214" s="73">
        <f t="shared" si="18"/>
        <v>2014</v>
      </c>
      <c r="C214" s="73">
        <f t="shared" si="19"/>
        <v>12</v>
      </c>
      <c r="D214" s="74">
        <v>42004</v>
      </c>
      <c r="E214" s="74" t="s">
        <v>8</v>
      </c>
      <c r="F214" s="74">
        <v>42004</v>
      </c>
      <c r="G214" s="77" t="s">
        <v>22</v>
      </c>
      <c r="H214" s="106"/>
      <c r="I214" s="9"/>
      <c r="J214" s="75">
        <v>50000</v>
      </c>
      <c r="K214" s="76" t="s">
        <v>10</v>
      </c>
      <c r="L214" s="76" t="s">
        <v>34</v>
      </c>
      <c r="M214" s="103" t="str">
        <f>IF(AND('331-CT'!$E$7=TH!I214,OR(K214="331",L214="331")),"x","")</f>
        <v/>
      </c>
      <c r="N214" s="103" t="str">
        <f>IF(AND($C214&gt;='1111'!$N$10,$C214&lt;='1111'!$O$10,OR($K214=$N$7,$L214=$N$7)),"x","")</f>
        <v/>
      </c>
      <c r="O214" s="103" t="str">
        <f>IF(AND($K214=$N$7,$C214&lt;'1111'!$N$10),"x","")</f>
        <v/>
      </c>
      <c r="P214" s="103" t="str">
        <f>IF(AND($L214=$N$7,$C214&lt;'1111'!$N$10),"x","")</f>
        <v/>
      </c>
      <c r="Q214" s="103" t="str">
        <f>IF(AND($C214&gt;='1121'!$N$9,$C214&lt;='1121'!$O$9,OR($K214=$Q$7,$L214=$Q$7)),"x","")</f>
        <v>x</v>
      </c>
      <c r="R214" s="103" t="str">
        <f>IF(AND($K214=$Q$7,$C214&lt;'1121'!$N$9),"x","")</f>
        <v/>
      </c>
      <c r="S214" s="103" t="str">
        <f>IF(AND($L214=$Q$7,$C214&lt;'1121'!$N$9),"x","")</f>
        <v/>
      </c>
      <c r="T214" s="103" t="str">
        <f>IF(AND($C214&gt;='1331'!$I$9,$C214&lt;='1331'!$J$9,OR($K214=$T$7,$L214=$T$7)),"x","")</f>
        <v/>
      </c>
      <c r="U214" s="103" t="str">
        <f>IF(AND($K214=$T$7,$C214&lt;'1331'!$I$9),"x","")</f>
        <v/>
      </c>
      <c r="V214" s="103" t="str">
        <f>IF(AND($L214=$T$7,$C214&lt;'1331'!$I$9),"x","")</f>
        <v/>
      </c>
      <c r="W214" s="103" t="str">
        <f>IF(AND('3411-CT'!$E$9=TH!I214,OR(TH!K214=TH!$W$7,L214=TH!$W$7)),"x","")</f>
        <v/>
      </c>
      <c r="X214" s="103" t="str">
        <f>IF(OR(TH!K214=TH!$X$7,L214=TH!$X$7),"x","")</f>
        <v/>
      </c>
    </row>
    <row r="215" spans="1:24">
      <c r="A215" s="178" t="str">
        <f>IF(E215&lt;&gt;"",IF(AND(B215='IN - TC'!$Q$4,OR(TH!K215="1111",TH!L215="1111")),TH!E215,""),"")</f>
        <v/>
      </c>
      <c r="B215" s="73" t="str">
        <f t="shared" ref="B215:B236" si="20">IF(D215&lt;&gt;"",YEAR(D215),"")</f>
        <v/>
      </c>
      <c r="C215" s="73" t="str">
        <f t="shared" ref="C215:C236" si="21">IF(D215&lt;&gt;"",MONTH(D215),"")</f>
        <v/>
      </c>
      <c r="D215" s="74"/>
      <c r="E215" s="74"/>
      <c r="F215" s="74"/>
      <c r="G215" s="77"/>
      <c r="H215" s="180"/>
      <c r="I215" s="91"/>
      <c r="J215" s="75"/>
      <c r="K215" s="76"/>
      <c r="L215" s="76"/>
      <c r="M215" s="103" t="str">
        <f>IF(AND('331-CT'!$E$7=TH!I215,OR(K215="331",L215="331")),"x","")</f>
        <v/>
      </c>
      <c r="N215" s="103" t="str">
        <f>IF(AND($C215&gt;='1111'!$N$10,$C215&lt;='1111'!$O$10,OR($K215=$N$7,$L215=$N$7)),"x","")</f>
        <v/>
      </c>
      <c r="O215" s="103" t="str">
        <f>IF(AND($K215=$N$7,$C215&lt;'1111'!$N$10),"x","")</f>
        <v/>
      </c>
      <c r="P215" s="103" t="str">
        <f>IF(AND($L215=$N$7,$C215&lt;'1111'!$N$10),"x","")</f>
        <v/>
      </c>
      <c r="Q215" s="103" t="str">
        <f>IF(AND($C215&gt;='1121'!$N$9,$C215&lt;='1121'!$O$9,OR($K215=$Q$7,$L215=$Q$7)),"x","")</f>
        <v/>
      </c>
      <c r="R215" s="103" t="str">
        <f>IF(AND($K215=$Q$7,$C215&lt;'1121'!$N$9),"x","")</f>
        <v/>
      </c>
      <c r="S215" s="103" t="str">
        <f>IF(AND($L215=$Q$7,$C215&lt;'1121'!$N$9),"x","")</f>
        <v/>
      </c>
      <c r="T215" s="103" t="str">
        <f>IF(AND($C215&gt;='1331'!$I$9,$C215&lt;='1331'!$J$9,OR($K215=$T$7,$L215=$T$7)),"x","")</f>
        <v/>
      </c>
      <c r="U215" s="103" t="str">
        <f>IF(AND($K215=$T$7,$C215&lt;'1331'!$I$9),"x","")</f>
        <v/>
      </c>
      <c r="V215" s="103" t="str">
        <f>IF(AND($L215=$T$7,$C215&lt;'1331'!$I$9),"x","")</f>
        <v/>
      </c>
      <c r="W215" s="103" t="str">
        <f>IF(AND('3411-CT'!$E$9=TH!I215,OR(TH!K215=TH!$W$7,L215=TH!$W$7)),"x","")</f>
        <v/>
      </c>
      <c r="X215" s="103" t="str">
        <f>IF(OR(TH!K215=TH!$X$7,L215=TH!$X$7),"x","")</f>
        <v/>
      </c>
    </row>
    <row r="216" spans="1:24">
      <c r="A216" s="178" t="str">
        <f>IF(E216&lt;&gt;"",IF(AND(B216='IN - TC'!$Q$4,OR(TH!K216="1111",TH!L216="1111")),TH!E216,""),"")</f>
        <v/>
      </c>
      <c r="B216" s="73" t="str">
        <f t="shared" si="20"/>
        <v/>
      </c>
      <c r="C216" s="73" t="str">
        <f t="shared" si="21"/>
        <v/>
      </c>
      <c r="D216" s="74"/>
      <c r="E216" s="74"/>
      <c r="F216" s="74"/>
      <c r="G216" s="77"/>
      <c r="H216" s="180"/>
      <c r="I216" s="91"/>
      <c r="J216" s="75"/>
      <c r="K216" s="76"/>
      <c r="L216" s="76"/>
      <c r="M216" s="103" t="str">
        <f>IF(AND('331-CT'!$E$7=TH!I216,OR(K216="331",L216="331")),"x","")</f>
        <v/>
      </c>
      <c r="N216" s="103" t="str">
        <f>IF(AND($C216&gt;='1111'!$N$10,$C216&lt;='1111'!$O$10,OR($K216=$N$7,$L216=$N$7)),"x","")</f>
        <v/>
      </c>
      <c r="O216" s="103" t="str">
        <f>IF(AND($K216=$N$7,$C216&lt;'1111'!$N$10),"x","")</f>
        <v/>
      </c>
      <c r="P216" s="103" t="str">
        <f>IF(AND($L216=$N$7,$C216&lt;'1111'!$N$10),"x","")</f>
        <v/>
      </c>
      <c r="Q216" s="103" t="str">
        <f>IF(AND($C216&gt;='1121'!$N$9,$C216&lt;='1121'!$O$9,OR($K216=$Q$7,$L216=$Q$7)),"x","")</f>
        <v/>
      </c>
      <c r="R216" s="103" t="str">
        <f>IF(AND($K216=$Q$7,$C216&lt;'1121'!$N$9),"x","")</f>
        <v/>
      </c>
      <c r="S216" s="103" t="str">
        <f>IF(AND($L216=$Q$7,$C216&lt;'1121'!$N$9),"x","")</f>
        <v/>
      </c>
      <c r="T216" s="103" t="str">
        <f>IF(AND($C216&gt;='1331'!$I$9,$C216&lt;='1331'!$J$9,OR($K216=$T$7,$L216=$T$7)),"x","")</f>
        <v/>
      </c>
      <c r="U216" s="103" t="str">
        <f>IF(AND($K216=$T$7,$C216&lt;'1331'!$I$9),"x","")</f>
        <v/>
      </c>
      <c r="V216" s="103" t="str">
        <f>IF(AND($L216=$T$7,$C216&lt;'1331'!$I$9),"x","")</f>
        <v/>
      </c>
      <c r="W216" s="103" t="str">
        <f>IF(AND('3411-CT'!$E$9=TH!I216,OR(TH!K216=TH!$W$7,L216=TH!$W$7)),"x","")</f>
        <v/>
      </c>
      <c r="X216" s="103" t="str">
        <f>IF(OR(TH!K216=TH!$X$7,L216=TH!$X$7),"x","")</f>
        <v/>
      </c>
    </row>
    <row r="217" spans="1:24">
      <c r="A217" s="178" t="str">
        <f>IF(E217&lt;&gt;"",IF(AND(B217='IN - TC'!$Q$4,OR(TH!K217="1111",TH!L217="1111")),TH!E217,""),"")</f>
        <v/>
      </c>
      <c r="B217" s="73" t="str">
        <f t="shared" si="20"/>
        <v/>
      </c>
      <c r="C217" s="73" t="str">
        <f t="shared" si="21"/>
        <v/>
      </c>
      <c r="D217" s="74"/>
      <c r="E217" s="74"/>
      <c r="F217" s="74"/>
      <c r="G217" s="77"/>
      <c r="H217" s="180"/>
      <c r="I217" s="91"/>
      <c r="J217" s="75"/>
      <c r="K217" s="76"/>
      <c r="L217" s="76"/>
      <c r="M217" s="103" t="str">
        <f>IF(AND('331-CT'!$E$7=TH!I217,OR(K217="331",L217="331")),"x","")</f>
        <v/>
      </c>
      <c r="N217" s="103" t="str">
        <f>IF(AND($C217&gt;='1111'!$N$10,$C217&lt;='1111'!$O$10,OR($K217=$N$7,$L217=$N$7)),"x","")</f>
        <v/>
      </c>
      <c r="O217" s="103" t="str">
        <f>IF(AND($K217=$N$7,$C217&lt;'1111'!$N$10),"x","")</f>
        <v/>
      </c>
      <c r="P217" s="103" t="str">
        <f>IF(AND($L217=$N$7,$C217&lt;'1111'!$N$10),"x","")</f>
        <v/>
      </c>
      <c r="Q217" s="103" t="str">
        <f>IF(AND($C217&gt;='1121'!$N$9,$C217&lt;='1121'!$O$9,OR($K217=$Q$7,$L217=$Q$7)),"x","")</f>
        <v/>
      </c>
      <c r="R217" s="103" t="str">
        <f>IF(AND($K217=$Q$7,$C217&lt;'1121'!$N$9),"x","")</f>
        <v/>
      </c>
      <c r="S217" s="103" t="str">
        <f>IF(AND($L217=$Q$7,$C217&lt;'1121'!$N$9),"x","")</f>
        <v/>
      </c>
      <c r="T217" s="103" t="str">
        <f>IF(AND($C217&gt;='1331'!$I$9,$C217&lt;='1331'!$J$9,OR($K217=$T$7,$L217=$T$7)),"x","")</f>
        <v/>
      </c>
      <c r="U217" s="103" t="str">
        <f>IF(AND($K217=$T$7,$C217&lt;'1331'!$I$9),"x","")</f>
        <v/>
      </c>
      <c r="V217" s="103" t="str">
        <f>IF(AND($L217=$T$7,$C217&lt;'1331'!$I$9),"x","")</f>
        <v/>
      </c>
      <c r="W217" s="103" t="str">
        <f>IF(AND('3411-CT'!$E$9=TH!I217,OR(TH!K217=TH!$W$7,L217=TH!$W$7)),"x","")</f>
        <v/>
      </c>
      <c r="X217" s="103" t="str">
        <f>IF(OR(TH!K217=TH!$X$7,L217=TH!$X$7),"x","")</f>
        <v/>
      </c>
    </row>
    <row r="218" spans="1:24">
      <c r="A218" s="178" t="str">
        <f>IF(E218&lt;&gt;"",IF(AND(B218='IN - TC'!$Q$4,OR(TH!K218="1111",TH!L218="1111")),TH!E218,""),"")</f>
        <v/>
      </c>
      <c r="B218" s="73" t="str">
        <f t="shared" si="20"/>
        <v/>
      </c>
      <c r="C218" s="73" t="str">
        <f t="shared" si="21"/>
        <v/>
      </c>
      <c r="D218" s="74"/>
      <c r="E218" s="74"/>
      <c r="F218" s="74"/>
      <c r="G218" s="77"/>
      <c r="H218" s="180"/>
      <c r="I218" s="91"/>
      <c r="J218" s="75"/>
      <c r="K218" s="76"/>
      <c r="L218" s="76"/>
      <c r="M218" s="103" t="str">
        <f>IF(AND('331-CT'!$E$7=TH!I218,OR(K218="331",L218="331")),"x","")</f>
        <v/>
      </c>
      <c r="N218" s="103" t="str">
        <f>IF(AND($C218&gt;='1111'!$N$10,$C218&lt;='1111'!$O$10,OR($K218=$N$7,$L218=$N$7)),"x","")</f>
        <v/>
      </c>
      <c r="O218" s="103" t="str">
        <f>IF(AND($K218=$N$7,$C218&lt;'1111'!$N$10),"x","")</f>
        <v/>
      </c>
      <c r="P218" s="103" t="str">
        <f>IF(AND($L218=$N$7,$C218&lt;'1111'!$N$10),"x","")</f>
        <v/>
      </c>
      <c r="Q218" s="103" t="str">
        <f>IF(AND($C218&gt;='1121'!$N$9,$C218&lt;='1121'!$O$9,OR($K218=$Q$7,$L218=$Q$7)),"x","")</f>
        <v/>
      </c>
      <c r="R218" s="103" t="str">
        <f>IF(AND($K218=$Q$7,$C218&lt;'1121'!$N$9),"x","")</f>
        <v/>
      </c>
      <c r="S218" s="103" t="str">
        <f>IF(AND($L218=$Q$7,$C218&lt;'1121'!$N$9),"x","")</f>
        <v/>
      </c>
      <c r="T218" s="103" t="str">
        <f>IF(AND($C218&gt;='1331'!$I$9,$C218&lt;='1331'!$J$9,OR($K218=$T$7,$L218=$T$7)),"x","")</f>
        <v/>
      </c>
      <c r="U218" s="103" t="str">
        <f>IF(AND($K218=$T$7,$C218&lt;'1331'!$I$9),"x","")</f>
        <v/>
      </c>
      <c r="V218" s="103" t="str">
        <f>IF(AND($L218=$T$7,$C218&lt;'1331'!$I$9),"x","")</f>
        <v/>
      </c>
      <c r="W218" s="103" t="str">
        <f>IF(AND('3411-CT'!$E$9=TH!I218,OR(TH!K218=TH!$W$7,L218=TH!$W$7)),"x","")</f>
        <v/>
      </c>
      <c r="X218" s="103" t="str">
        <f>IF(OR(TH!K218=TH!$X$7,L218=TH!$X$7),"x","")</f>
        <v/>
      </c>
    </row>
    <row r="219" spans="1:24">
      <c r="A219" s="178" t="str">
        <f>IF(E219&lt;&gt;"",IF(AND(B219='IN - TC'!$Q$4,OR(TH!K219="1111",TH!L219="1111")),TH!E219,""),"")</f>
        <v/>
      </c>
      <c r="B219" s="73" t="str">
        <f t="shared" si="20"/>
        <v/>
      </c>
      <c r="C219" s="73" t="str">
        <f t="shared" si="21"/>
        <v/>
      </c>
      <c r="D219" s="74"/>
      <c r="E219" s="74"/>
      <c r="F219" s="74"/>
      <c r="G219" s="77"/>
      <c r="H219" s="180"/>
      <c r="I219" s="91"/>
      <c r="J219" s="75"/>
      <c r="K219" s="76"/>
      <c r="L219" s="76"/>
      <c r="M219" s="103" t="str">
        <f>IF(AND('331-CT'!$E$7=TH!I219,OR(K219="331",L219="331")),"x","")</f>
        <v/>
      </c>
      <c r="N219" s="103" t="str">
        <f>IF(AND($C219&gt;='1111'!$N$10,$C219&lt;='1111'!$O$10,OR($K219=$N$7,$L219=$N$7)),"x","")</f>
        <v/>
      </c>
      <c r="O219" s="103" t="str">
        <f>IF(AND($K219=$N$7,$C219&lt;'1111'!$N$10),"x","")</f>
        <v/>
      </c>
      <c r="P219" s="103" t="str">
        <f>IF(AND($L219=$N$7,$C219&lt;'1111'!$N$10),"x","")</f>
        <v/>
      </c>
      <c r="Q219" s="103" t="str">
        <f>IF(AND($C219&gt;='1121'!$N$9,$C219&lt;='1121'!$O$9,OR($K219=$Q$7,$L219=$Q$7)),"x","")</f>
        <v/>
      </c>
      <c r="R219" s="103" t="str">
        <f>IF(AND($K219=$Q$7,$C219&lt;'1121'!$N$9),"x","")</f>
        <v/>
      </c>
      <c r="S219" s="103" t="str">
        <f>IF(AND($L219=$Q$7,$C219&lt;'1121'!$N$9),"x","")</f>
        <v/>
      </c>
      <c r="T219" s="103" t="str">
        <f>IF(AND($C219&gt;='1331'!$I$9,$C219&lt;='1331'!$J$9,OR($K219=$T$7,$L219=$T$7)),"x","")</f>
        <v/>
      </c>
      <c r="U219" s="103" t="str">
        <f>IF(AND($K219=$T$7,$C219&lt;'1331'!$I$9),"x","")</f>
        <v/>
      </c>
      <c r="V219" s="103" t="str">
        <f>IF(AND($L219=$T$7,$C219&lt;'1331'!$I$9),"x","")</f>
        <v/>
      </c>
      <c r="W219" s="103" t="str">
        <f>IF(AND('3411-CT'!$E$9=TH!I219,OR(TH!K219=TH!$W$7,L219=TH!$W$7)),"x","")</f>
        <v/>
      </c>
      <c r="X219" s="103" t="str">
        <f>IF(OR(TH!K219=TH!$X$7,L219=TH!$X$7),"x","")</f>
        <v/>
      </c>
    </row>
    <row r="220" spans="1:24">
      <c r="A220" s="178" t="str">
        <f>IF(E220&lt;&gt;"",IF(AND(B220='IN - TC'!$Q$4,OR(TH!K220="1111",TH!L220="1111")),TH!E220,""),"")</f>
        <v/>
      </c>
      <c r="B220" s="73" t="str">
        <f t="shared" si="20"/>
        <v/>
      </c>
      <c r="C220" s="73" t="str">
        <f t="shared" si="21"/>
        <v/>
      </c>
      <c r="D220" s="74"/>
      <c r="E220" s="74"/>
      <c r="F220" s="74"/>
      <c r="G220" s="77"/>
      <c r="H220" s="180"/>
      <c r="I220" s="91"/>
      <c r="J220" s="75"/>
      <c r="K220" s="76"/>
      <c r="L220" s="76"/>
      <c r="M220" s="103" t="str">
        <f>IF(AND('331-CT'!$E$7=TH!I220,OR(K220="331",L220="331")),"x","")</f>
        <v/>
      </c>
      <c r="N220" s="103" t="str">
        <f>IF(AND($C220&gt;='1111'!$N$10,$C220&lt;='1111'!$O$10,OR($K220=$N$7,$L220=$N$7)),"x","")</f>
        <v/>
      </c>
      <c r="O220" s="103" t="str">
        <f>IF(AND($K220=$N$7,$C220&lt;'1111'!$N$10),"x","")</f>
        <v/>
      </c>
      <c r="P220" s="103" t="str">
        <f>IF(AND($L220=$N$7,$C220&lt;'1111'!$N$10),"x","")</f>
        <v/>
      </c>
      <c r="Q220" s="103" t="str">
        <f>IF(AND($C220&gt;='1121'!$N$9,$C220&lt;='1121'!$O$9,OR($K220=$Q$7,$L220=$Q$7)),"x","")</f>
        <v/>
      </c>
      <c r="R220" s="103" t="str">
        <f>IF(AND($K220=$Q$7,$C220&lt;'1121'!$N$9),"x","")</f>
        <v/>
      </c>
      <c r="S220" s="103" t="str">
        <f>IF(AND($L220=$Q$7,$C220&lt;'1121'!$N$9),"x","")</f>
        <v/>
      </c>
      <c r="T220" s="103" t="str">
        <f>IF(AND($C220&gt;='1331'!$I$9,$C220&lt;='1331'!$J$9,OR($K220=$T$7,$L220=$T$7)),"x","")</f>
        <v/>
      </c>
      <c r="U220" s="103" t="str">
        <f>IF(AND($K220=$T$7,$C220&lt;'1331'!$I$9),"x","")</f>
        <v/>
      </c>
      <c r="V220" s="103" t="str">
        <f>IF(AND($L220=$T$7,$C220&lt;'1331'!$I$9),"x","")</f>
        <v/>
      </c>
      <c r="W220" s="103" t="str">
        <f>IF(AND('3411-CT'!$E$9=TH!I220,OR(TH!K220=TH!$W$7,L220=TH!$W$7)),"x","")</f>
        <v/>
      </c>
      <c r="X220" s="103" t="str">
        <f>IF(OR(TH!K220=TH!$X$7,L220=TH!$X$7),"x","")</f>
        <v/>
      </c>
    </row>
    <row r="221" spans="1:24">
      <c r="A221" s="178" t="str">
        <f>IF(E221&lt;&gt;"",IF(AND(B221='IN - TC'!$Q$4,OR(TH!K221="1111",TH!L221="1111")),TH!E221,""),"")</f>
        <v/>
      </c>
      <c r="B221" s="73" t="str">
        <f t="shared" si="20"/>
        <v/>
      </c>
      <c r="C221" s="73" t="str">
        <f t="shared" si="21"/>
        <v/>
      </c>
      <c r="D221" s="74"/>
      <c r="E221" s="74"/>
      <c r="F221" s="74"/>
      <c r="G221" s="77"/>
      <c r="H221" s="180"/>
      <c r="I221" s="91"/>
      <c r="J221" s="75"/>
      <c r="K221" s="76"/>
      <c r="L221" s="76"/>
      <c r="M221" s="103" t="str">
        <f>IF(AND('331-CT'!$E$7=TH!I221,OR(K221="331",L221="331")),"x","")</f>
        <v/>
      </c>
      <c r="N221" s="103" t="str">
        <f>IF(AND($C221&gt;='1111'!$N$10,$C221&lt;='1111'!$O$10,OR($K221=$N$7,$L221=$N$7)),"x","")</f>
        <v/>
      </c>
      <c r="O221" s="103" t="str">
        <f>IF(AND($K221=$N$7,$C221&lt;'1111'!$N$10),"x","")</f>
        <v/>
      </c>
      <c r="P221" s="103" t="str">
        <f>IF(AND($L221=$N$7,$C221&lt;'1111'!$N$10),"x","")</f>
        <v/>
      </c>
      <c r="Q221" s="103" t="str">
        <f>IF(AND($C221&gt;='1121'!$N$9,$C221&lt;='1121'!$O$9,OR($K221=$Q$7,$L221=$Q$7)),"x","")</f>
        <v/>
      </c>
      <c r="R221" s="103" t="str">
        <f>IF(AND($K221=$Q$7,$C221&lt;'1121'!$N$9),"x","")</f>
        <v/>
      </c>
      <c r="S221" s="103" t="str">
        <f>IF(AND($L221=$Q$7,$C221&lt;'1121'!$N$9),"x","")</f>
        <v/>
      </c>
      <c r="T221" s="103" t="str">
        <f>IF(AND($C221&gt;='1331'!$I$9,$C221&lt;='1331'!$J$9,OR($K221=$T$7,$L221=$T$7)),"x","")</f>
        <v/>
      </c>
      <c r="U221" s="103" t="str">
        <f>IF(AND($K221=$T$7,$C221&lt;'1331'!$I$9),"x","")</f>
        <v/>
      </c>
      <c r="V221" s="103" t="str">
        <f>IF(AND($L221=$T$7,$C221&lt;'1331'!$I$9),"x","")</f>
        <v/>
      </c>
      <c r="W221" s="103" t="str">
        <f>IF(AND('3411-CT'!$E$9=TH!I221,OR(TH!K221=TH!$W$7,L221=TH!$W$7)),"x","")</f>
        <v/>
      </c>
      <c r="X221" s="103" t="str">
        <f>IF(OR(TH!K221=TH!$X$7,L221=TH!$X$7),"x","")</f>
        <v/>
      </c>
    </row>
    <row r="222" spans="1:24">
      <c r="A222" s="178" t="str">
        <f>IF(E222&lt;&gt;"",IF(AND(B222='IN - TC'!$Q$4,OR(TH!K222="1111",TH!L222="1111")),TH!E222,""),"")</f>
        <v/>
      </c>
      <c r="B222" s="73" t="str">
        <f t="shared" si="20"/>
        <v/>
      </c>
      <c r="C222" s="73" t="str">
        <f t="shared" si="21"/>
        <v/>
      </c>
      <c r="D222" s="74"/>
      <c r="E222" s="74"/>
      <c r="F222" s="74"/>
      <c r="G222" s="77"/>
      <c r="H222" s="180"/>
      <c r="I222" s="91"/>
      <c r="J222" s="75"/>
      <c r="K222" s="76"/>
      <c r="L222" s="76"/>
      <c r="M222" s="103" t="str">
        <f>IF(AND('331-CT'!$E$7=TH!I222,OR(K222="331",L222="331")),"x","")</f>
        <v/>
      </c>
      <c r="N222" s="103" t="str">
        <f>IF(AND($C222&gt;='1111'!$N$10,$C222&lt;='1111'!$O$10,OR($K222=$N$7,$L222=$N$7)),"x","")</f>
        <v/>
      </c>
      <c r="O222" s="103" t="str">
        <f>IF(AND($K222=$N$7,$C222&lt;'1111'!$N$10),"x","")</f>
        <v/>
      </c>
      <c r="P222" s="103" t="str">
        <f>IF(AND($L222=$N$7,$C222&lt;'1111'!$N$10),"x","")</f>
        <v/>
      </c>
      <c r="Q222" s="103" t="str">
        <f>IF(AND($C222&gt;='1121'!$N$9,$C222&lt;='1121'!$O$9,OR($K222=$Q$7,$L222=$Q$7)),"x","")</f>
        <v/>
      </c>
      <c r="R222" s="103" t="str">
        <f>IF(AND($K222=$Q$7,$C222&lt;'1121'!$N$9),"x","")</f>
        <v/>
      </c>
      <c r="S222" s="103" t="str">
        <f>IF(AND($L222=$Q$7,$C222&lt;'1121'!$N$9),"x","")</f>
        <v/>
      </c>
      <c r="T222" s="103" t="str">
        <f>IF(AND($C222&gt;='1331'!$I$9,$C222&lt;='1331'!$J$9,OR($K222=$T$7,$L222=$T$7)),"x","")</f>
        <v/>
      </c>
      <c r="U222" s="103" t="str">
        <f>IF(AND($K222=$T$7,$C222&lt;'1331'!$I$9),"x","")</f>
        <v/>
      </c>
      <c r="V222" s="103" t="str">
        <f>IF(AND($L222=$T$7,$C222&lt;'1331'!$I$9),"x","")</f>
        <v/>
      </c>
      <c r="W222" s="103" t="str">
        <f>IF(AND('3411-CT'!$E$9=TH!I222,OR(TH!K222=TH!$W$7,L222=TH!$W$7)),"x","")</f>
        <v/>
      </c>
      <c r="X222" s="103" t="str">
        <f>IF(OR(TH!K222=TH!$X$7,L222=TH!$X$7),"x","")</f>
        <v/>
      </c>
    </row>
    <row r="223" spans="1:24">
      <c r="A223" s="178" t="str">
        <f>IF(E223&lt;&gt;"",IF(AND(B223='IN - TC'!$Q$4,OR(TH!K223="1111",TH!L223="1111")),TH!E223,""),"")</f>
        <v/>
      </c>
      <c r="B223" s="73" t="str">
        <f t="shared" si="20"/>
        <v/>
      </c>
      <c r="C223" s="73" t="str">
        <f t="shared" si="21"/>
        <v/>
      </c>
      <c r="D223" s="74"/>
      <c r="E223" s="74"/>
      <c r="F223" s="74"/>
      <c r="G223" s="77"/>
      <c r="H223" s="180"/>
      <c r="I223" s="91"/>
      <c r="J223" s="75"/>
      <c r="K223" s="76"/>
      <c r="L223" s="76"/>
      <c r="M223" s="103" t="str">
        <f>IF(AND('331-CT'!$E$7=TH!I223,OR(K223="331",L223="331")),"x","")</f>
        <v/>
      </c>
      <c r="N223" s="103" t="str">
        <f>IF(AND($C223&gt;='1111'!$N$10,$C223&lt;='1111'!$O$10,OR($K223=$N$7,$L223=$N$7)),"x","")</f>
        <v/>
      </c>
      <c r="O223" s="103" t="str">
        <f>IF(AND($K223=$N$7,$C223&lt;'1111'!$N$10),"x","")</f>
        <v/>
      </c>
      <c r="P223" s="103" t="str">
        <f>IF(AND($L223=$N$7,$C223&lt;'1111'!$N$10),"x","")</f>
        <v/>
      </c>
      <c r="Q223" s="103" t="str">
        <f>IF(AND($C223&gt;='1121'!$N$9,$C223&lt;='1121'!$O$9,OR($K223=$Q$7,$L223=$Q$7)),"x","")</f>
        <v/>
      </c>
      <c r="R223" s="103" t="str">
        <f>IF(AND($K223=$Q$7,$C223&lt;'1121'!$N$9),"x","")</f>
        <v/>
      </c>
      <c r="S223" s="103" t="str">
        <f>IF(AND($L223=$Q$7,$C223&lt;'1121'!$N$9),"x","")</f>
        <v/>
      </c>
      <c r="T223" s="103" t="str">
        <f>IF(AND($C223&gt;='1331'!$I$9,$C223&lt;='1331'!$J$9,OR($K223=$T$7,$L223=$T$7)),"x","")</f>
        <v/>
      </c>
      <c r="U223" s="103" t="str">
        <f>IF(AND($K223=$T$7,$C223&lt;'1331'!$I$9),"x","")</f>
        <v/>
      </c>
      <c r="V223" s="103" t="str">
        <f>IF(AND($L223=$T$7,$C223&lt;'1331'!$I$9),"x","")</f>
        <v/>
      </c>
      <c r="W223" s="103" t="str">
        <f>IF(AND('3411-CT'!$E$9=TH!I223,OR(TH!K223=TH!$W$7,L223=TH!$W$7)),"x","")</f>
        <v/>
      </c>
      <c r="X223" s="103" t="str">
        <f>IF(OR(TH!K223=TH!$X$7,L223=TH!$X$7),"x","")</f>
        <v/>
      </c>
    </row>
    <row r="224" spans="1:24">
      <c r="A224" s="178" t="str">
        <f>IF(E224&lt;&gt;"",IF(AND(B224='IN - TC'!$Q$4,OR(TH!K224="1111",TH!L224="1111")),TH!E224,""),"")</f>
        <v/>
      </c>
      <c r="B224" s="73" t="str">
        <f t="shared" si="20"/>
        <v/>
      </c>
      <c r="C224" s="73" t="str">
        <f t="shared" si="21"/>
        <v/>
      </c>
      <c r="D224" s="74"/>
      <c r="E224" s="74"/>
      <c r="F224" s="74"/>
      <c r="G224" s="77"/>
      <c r="H224" s="180"/>
      <c r="I224" s="91"/>
      <c r="J224" s="75"/>
      <c r="K224" s="76"/>
      <c r="L224" s="76"/>
      <c r="M224" s="103" t="str">
        <f>IF(AND('331-CT'!$E$7=TH!I224,OR(K224="331",L224="331")),"x","")</f>
        <v/>
      </c>
      <c r="N224" s="103" t="str">
        <f>IF(AND($C224&gt;='1111'!$N$10,$C224&lt;='1111'!$O$10,OR($K224=$N$7,$L224=$N$7)),"x","")</f>
        <v/>
      </c>
      <c r="O224" s="103" t="str">
        <f>IF(AND($K224=$N$7,$C224&lt;'1111'!$N$10),"x","")</f>
        <v/>
      </c>
      <c r="P224" s="103" t="str">
        <f>IF(AND($L224=$N$7,$C224&lt;'1111'!$N$10),"x","")</f>
        <v/>
      </c>
      <c r="Q224" s="103" t="str">
        <f>IF(AND($C224&gt;='1121'!$N$9,$C224&lt;='1121'!$O$9,OR($K224=$Q$7,$L224=$Q$7)),"x","")</f>
        <v/>
      </c>
      <c r="R224" s="103" t="str">
        <f>IF(AND($K224=$Q$7,$C224&lt;'1121'!$N$9),"x","")</f>
        <v/>
      </c>
      <c r="S224" s="103" t="str">
        <f>IF(AND($L224=$Q$7,$C224&lt;'1121'!$N$9),"x","")</f>
        <v/>
      </c>
      <c r="T224" s="103" t="str">
        <f>IF(AND($C224&gt;='1331'!$I$9,$C224&lt;='1331'!$J$9,OR($K224=$T$7,$L224=$T$7)),"x","")</f>
        <v/>
      </c>
      <c r="U224" s="103" t="str">
        <f>IF(AND($K224=$T$7,$C224&lt;'1331'!$I$9),"x","")</f>
        <v/>
      </c>
      <c r="V224" s="103" t="str">
        <f>IF(AND($L224=$T$7,$C224&lt;'1331'!$I$9),"x","")</f>
        <v/>
      </c>
      <c r="W224" s="103" t="str">
        <f>IF(AND('3411-CT'!$E$9=TH!I224,OR(TH!K224=TH!$W$7,L224=TH!$W$7)),"x","")</f>
        <v/>
      </c>
      <c r="X224" s="103" t="str">
        <f>IF(OR(TH!K224=TH!$X$7,L224=TH!$X$7),"x","")</f>
        <v/>
      </c>
    </row>
    <row r="225" spans="1:24">
      <c r="A225" s="178" t="str">
        <f>IF(E225&lt;&gt;"",IF(AND(B225='IN - TC'!$Q$4,OR(TH!K225="1111",TH!L225="1111")),TH!E225,""),"")</f>
        <v/>
      </c>
      <c r="B225" s="73" t="str">
        <f t="shared" si="20"/>
        <v/>
      </c>
      <c r="C225" s="73" t="str">
        <f t="shared" si="21"/>
        <v/>
      </c>
      <c r="D225" s="74"/>
      <c r="E225" s="74"/>
      <c r="F225" s="74"/>
      <c r="G225" s="77"/>
      <c r="H225" s="180"/>
      <c r="I225" s="91"/>
      <c r="J225" s="75"/>
      <c r="K225" s="76"/>
      <c r="L225" s="76"/>
      <c r="M225" s="103" t="str">
        <f>IF(AND('331-CT'!$E$7=TH!I225,OR(K225="331",L225="331")),"x","")</f>
        <v/>
      </c>
      <c r="N225" s="103" t="str">
        <f>IF(AND($C225&gt;='1111'!$N$10,$C225&lt;='1111'!$O$10,OR($K225=$N$7,$L225=$N$7)),"x","")</f>
        <v/>
      </c>
      <c r="O225" s="103" t="str">
        <f>IF(AND($K225=$N$7,$C225&lt;'1111'!$N$10),"x","")</f>
        <v/>
      </c>
      <c r="P225" s="103" t="str">
        <f>IF(AND($L225=$N$7,$C225&lt;'1111'!$N$10),"x","")</f>
        <v/>
      </c>
      <c r="Q225" s="103" t="str">
        <f>IF(AND($C225&gt;='1121'!$N$9,$C225&lt;='1121'!$O$9,OR($K225=$Q$7,$L225=$Q$7)),"x","")</f>
        <v/>
      </c>
      <c r="R225" s="103" t="str">
        <f>IF(AND($K225=$Q$7,$C225&lt;'1121'!$N$9),"x","")</f>
        <v/>
      </c>
      <c r="S225" s="103" t="str">
        <f>IF(AND($L225=$Q$7,$C225&lt;'1121'!$N$9),"x","")</f>
        <v/>
      </c>
      <c r="T225" s="103" t="str">
        <f>IF(AND($C225&gt;='1331'!$I$9,$C225&lt;='1331'!$J$9,OR($K225=$T$7,$L225=$T$7)),"x","")</f>
        <v/>
      </c>
      <c r="U225" s="103" t="str">
        <f>IF(AND($K225=$T$7,$C225&lt;'1331'!$I$9),"x","")</f>
        <v/>
      </c>
      <c r="V225" s="103" t="str">
        <f>IF(AND($L225=$T$7,$C225&lt;'1331'!$I$9),"x","")</f>
        <v/>
      </c>
      <c r="W225" s="103" t="str">
        <f>IF(AND('3411-CT'!$E$9=TH!I225,OR(TH!K225=TH!$W$7,L225=TH!$W$7)),"x","")</f>
        <v/>
      </c>
      <c r="X225" s="103" t="str">
        <f>IF(OR(TH!K225=TH!$X$7,L225=TH!$X$7),"x","")</f>
        <v/>
      </c>
    </row>
    <row r="226" spans="1:24">
      <c r="A226" s="178" t="str">
        <f>IF(E226&lt;&gt;"",IF(AND(B226='IN - TC'!$Q$4,OR(TH!K226="1111",TH!L226="1111")),TH!E226,""),"")</f>
        <v/>
      </c>
      <c r="B226" s="73" t="str">
        <f t="shared" si="20"/>
        <v/>
      </c>
      <c r="C226" s="73" t="str">
        <f t="shared" si="21"/>
        <v/>
      </c>
      <c r="D226" s="74"/>
      <c r="E226" s="74"/>
      <c r="F226" s="74"/>
      <c r="G226" s="77"/>
      <c r="H226" s="180"/>
      <c r="I226" s="91"/>
      <c r="J226" s="75"/>
      <c r="K226" s="76"/>
      <c r="L226" s="76"/>
      <c r="M226" s="103" t="str">
        <f>IF(AND('331-CT'!$E$7=TH!I226,OR(K226="331",L226="331")),"x","")</f>
        <v/>
      </c>
      <c r="N226" s="103" t="str">
        <f>IF(AND($C226&gt;='1111'!$N$10,$C226&lt;='1111'!$O$10,OR($K226=$N$7,$L226=$N$7)),"x","")</f>
        <v/>
      </c>
      <c r="O226" s="103" t="str">
        <f>IF(AND($K226=$N$7,$C226&lt;'1111'!$N$10),"x","")</f>
        <v/>
      </c>
      <c r="P226" s="103" t="str">
        <f>IF(AND($L226=$N$7,$C226&lt;'1111'!$N$10),"x","")</f>
        <v/>
      </c>
      <c r="Q226" s="103" t="str">
        <f>IF(AND($C226&gt;='1121'!$N$9,$C226&lt;='1121'!$O$9,OR($K226=$Q$7,$L226=$Q$7)),"x","")</f>
        <v/>
      </c>
      <c r="R226" s="103" t="str">
        <f>IF(AND($K226=$Q$7,$C226&lt;'1121'!$N$9),"x","")</f>
        <v/>
      </c>
      <c r="S226" s="103" t="str">
        <f>IF(AND($L226=$Q$7,$C226&lt;'1121'!$N$9),"x","")</f>
        <v/>
      </c>
      <c r="T226" s="103" t="str">
        <f>IF(AND($C226&gt;='1331'!$I$9,$C226&lt;='1331'!$J$9,OR($K226=$T$7,$L226=$T$7)),"x","")</f>
        <v/>
      </c>
      <c r="U226" s="103" t="str">
        <f>IF(AND($K226=$T$7,$C226&lt;'1331'!$I$9),"x","")</f>
        <v/>
      </c>
      <c r="V226" s="103" t="str">
        <f>IF(AND($L226=$T$7,$C226&lt;'1331'!$I$9),"x","")</f>
        <v/>
      </c>
      <c r="W226" s="103" t="str">
        <f>IF(AND('3411-CT'!$E$9=TH!I226,OR(TH!K226=TH!$W$7,L226=TH!$W$7)),"x","")</f>
        <v/>
      </c>
      <c r="X226" s="103" t="str">
        <f>IF(OR(TH!K226=TH!$X$7,L226=TH!$X$7),"x","")</f>
        <v/>
      </c>
    </row>
    <row r="227" spans="1:24">
      <c r="A227" s="178" t="str">
        <f>IF(E227&lt;&gt;"",IF(AND(B227='IN - TC'!$Q$4,OR(TH!K227="1111",TH!L227="1111")),TH!E227,""),"")</f>
        <v/>
      </c>
      <c r="B227" s="73" t="str">
        <f t="shared" si="20"/>
        <v/>
      </c>
      <c r="C227" s="73" t="str">
        <f t="shared" si="21"/>
        <v/>
      </c>
      <c r="D227" s="74"/>
      <c r="E227" s="74"/>
      <c r="F227" s="74"/>
      <c r="G227" s="77"/>
      <c r="H227" s="180"/>
      <c r="I227" s="91"/>
      <c r="J227" s="75"/>
      <c r="K227" s="76"/>
      <c r="L227" s="76"/>
      <c r="M227" s="103" t="str">
        <f>IF(AND('331-CT'!$E$7=TH!I227,OR(K227="331",L227="331")),"x","")</f>
        <v/>
      </c>
      <c r="N227" s="103" t="str">
        <f>IF(AND($C227&gt;='1111'!$N$10,$C227&lt;='1111'!$O$10,OR($K227=$N$7,$L227=$N$7)),"x","")</f>
        <v/>
      </c>
      <c r="O227" s="103" t="str">
        <f>IF(AND($K227=$N$7,$C227&lt;'1111'!$N$10),"x","")</f>
        <v/>
      </c>
      <c r="P227" s="103" t="str">
        <f>IF(AND($L227=$N$7,$C227&lt;'1111'!$N$10),"x","")</f>
        <v/>
      </c>
      <c r="Q227" s="103" t="str">
        <f>IF(AND($C227&gt;='1121'!$N$9,$C227&lt;='1121'!$O$9,OR($K227=$Q$7,$L227=$Q$7)),"x","")</f>
        <v/>
      </c>
      <c r="R227" s="103" t="str">
        <f>IF(AND($K227=$Q$7,$C227&lt;'1121'!$N$9),"x","")</f>
        <v/>
      </c>
      <c r="S227" s="103" t="str">
        <f>IF(AND($L227=$Q$7,$C227&lt;'1121'!$N$9),"x","")</f>
        <v/>
      </c>
      <c r="T227" s="103" t="str">
        <f>IF(AND($C227&gt;='1331'!$I$9,$C227&lt;='1331'!$J$9,OR($K227=$T$7,$L227=$T$7)),"x","")</f>
        <v/>
      </c>
      <c r="U227" s="103" t="str">
        <f>IF(AND($K227=$T$7,$C227&lt;'1331'!$I$9),"x","")</f>
        <v/>
      </c>
      <c r="V227" s="103" t="str">
        <f>IF(AND($L227=$T$7,$C227&lt;'1331'!$I$9),"x","")</f>
        <v/>
      </c>
      <c r="W227" s="103" t="str">
        <f>IF(AND('3411-CT'!$E$9=TH!I227,OR(TH!K227=TH!$W$7,L227=TH!$W$7)),"x","")</f>
        <v/>
      </c>
      <c r="X227" s="103" t="str">
        <f>IF(OR(TH!K227=TH!$X$7,L227=TH!$X$7),"x","")</f>
        <v/>
      </c>
    </row>
    <row r="228" spans="1:24">
      <c r="A228" s="178" t="str">
        <f>IF(E228&lt;&gt;"",IF(AND(B228='IN - TC'!$Q$4,OR(TH!K228="1111",TH!L228="1111")),TH!E228,""),"")</f>
        <v/>
      </c>
      <c r="B228" s="73" t="str">
        <f t="shared" si="20"/>
        <v/>
      </c>
      <c r="C228" s="73" t="str">
        <f t="shared" si="21"/>
        <v/>
      </c>
      <c r="D228" s="74"/>
      <c r="E228" s="74"/>
      <c r="F228" s="74"/>
      <c r="G228" s="77"/>
      <c r="H228" s="180"/>
      <c r="I228" s="91"/>
      <c r="J228" s="75"/>
      <c r="K228" s="76"/>
      <c r="L228" s="76"/>
      <c r="M228" s="103" t="str">
        <f>IF(AND('331-CT'!$E$7=TH!I228,OR(K228="331",L228="331")),"x","")</f>
        <v/>
      </c>
      <c r="N228" s="103" t="str">
        <f>IF(AND($C228&gt;='1111'!$N$10,$C228&lt;='1111'!$O$10,OR($K228=$N$7,$L228=$N$7)),"x","")</f>
        <v/>
      </c>
      <c r="O228" s="103" t="str">
        <f>IF(AND($K228=$N$7,$C228&lt;'1111'!$N$10),"x","")</f>
        <v/>
      </c>
      <c r="P228" s="103" t="str">
        <f>IF(AND($L228=$N$7,$C228&lt;'1111'!$N$10),"x","")</f>
        <v/>
      </c>
      <c r="Q228" s="103" t="str">
        <f>IF(AND($C228&gt;='1121'!$N$9,$C228&lt;='1121'!$O$9,OR($K228=$Q$7,$L228=$Q$7)),"x","")</f>
        <v/>
      </c>
      <c r="R228" s="103" t="str">
        <f>IF(AND($K228=$Q$7,$C228&lt;'1121'!$N$9),"x","")</f>
        <v/>
      </c>
      <c r="S228" s="103" t="str">
        <f>IF(AND($L228=$Q$7,$C228&lt;'1121'!$N$9),"x","")</f>
        <v/>
      </c>
      <c r="T228" s="103" t="str">
        <f>IF(AND($C228&gt;='1331'!$I$9,$C228&lt;='1331'!$J$9,OR($K228=$T$7,$L228=$T$7)),"x","")</f>
        <v/>
      </c>
      <c r="U228" s="103" t="str">
        <f>IF(AND($K228=$T$7,$C228&lt;'1331'!$I$9),"x","")</f>
        <v/>
      </c>
      <c r="V228" s="103" t="str">
        <f>IF(AND($L228=$T$7,$C228&lt;'1331'!$I$9),"x","")</f>
        <v/>
      </c>
      <c r="W228" s="103" t="str">
        <f>IF(AND('3411-CT'!$E$9=TH!I228,OR(TH!K228=TH!$W$7,L228=TH!$W$7)),"x","")</f>
        <v/>
      </c>
      <c r="X228" s="103" t="str">
        <f>IF(OR(TH!K228=TH!$X$7,L228=TH!$X$7),"x","")</f>
        <v/>
      </c>
    </row>
    <row r="229" spans="1:24">
      <c r="A229" s="178" t="str">
        <f>IF(E229&lt;&gt;"",IF(AND(B229='IN - TC'!$Q$4,OR(TH!K229="1111",TH!L229="1111")),TH!E229,""),"")</f>
        <v/>
      </c>
      <c r="B229" s="73" t="str">
        <f t="shared" si="20"/>
        <v/>
      </c>
      <c r="C229" s="73" t="str">
        <f t="shared" si="21"/>
        <v/>
      </c>
      <c r="D229" s="74"/>
      <c r="E229" s="74"/>
      <c r="F229" s="74"/>
      <c r="G229" s="77"/>
      <c r="H229" s="180"/>
      <c r="I229" s="91"/>
      <c r="J229" s="75"/>
      <c r="K229" s="76"/>
      <c r="L229" s="76"/>
      <c r="M229" s="103" t="str">
        <f>IF(AND('331-CT'!$E$7=TH!I229,OR(K229="331",L229="331")),"x","")</f>
        <v/>
      </c>
      <c r="N229" s="103" t="str">
        <f>IF(AND($C229&gt;='1111'!$N$10,$C229&lt;='1111'!$O$10,OR($K229=$N$7,$L229=$N$7)),"x","")</f>
        <v/>
      </c>
      <c r="O229" s="103" t="str">
        <f>IF(AND($K229=$N$7,$C229&lt;'1111'!$N$10),"x","")</f>
        <v/>
      </c>
      <c r="P229" s="103" t="str">
        <f>IF(AND($L229=$N$7,$C229&lt;'1111'!$N$10),"x","")</f>
        <v/>
      </c>
      <c r="Q229" s="103" t="str">
        <f>IF(AND($C229&gt;='1121'!$N$9,$C229&lt;='1121'!$O$9,OR($K229=$Q$7,$L229=$Q$7)),"x","")</f>
        <v/>
      </c>
      <c r="R229" s="103" t="str">
        <f>IF(AND($K229=$Q$7,$C229&lt;'1121'!$N$9),"x","")</f>
        <v/>
      </c>
      <c r="S229" s="103" t="str">
        <f>IF(AND($L229=$Q$7,$C229&lt;'1121'!$N$9),"x","")</f>
        <v/>
      </c>
      <c r="T229" s="103" t="str">
        <f>IF(AND($C229&gt;='1331'!$I$9,$C229&lt;='1331'!$J$9,OR($K229=$T$7,$L229=$T$7)),"x","")</f>
        <v/>
      </c>
      <c r="U229" s="103" t="str">
        <f>IF(AND($K229=$T$7,$C229&lt;'1331'!$I$9),"x","")</f>
        <v/>
      </c>
      <c r="V229" s="103" t="str">
        <f>IF(AND($L229=$T$7,$C229&lt;'1331'!$I$9),"x","")</f>
        <v/>
      </c>
      <c r="W229" s="103" t="str">
        <f>IF(AND('3411-CT'!$E$9=TH!I229,OR(TH!K229=TH!$W$7,L229=TH!$W$7)),"x","")</f>
        <v/>
      </c>
      <c r="X229" s="103" t="str">
        <f>IF(OR(TH!K229=TH!$X$7,L229=TH!$X$7),"x","")</f>
        <v/>
      </c>
    </row>
    <row r="230" spans="1:24">
      <c r="A230" s="178" t="str">
        <f>IF(E230&lt;&gt;"",IF(AND(B230='IN - TC'!$Q$4,OR(TH!K230="1111",TH!L230="1111")),TH!E230,""),"")</f>
        <v/>
      </c>
      <c r="B230" s="73" t="str">
        <f t="shared" si="20"/>
        <v/>
      </c>
      <c r="C230" s="73" t="str">
        <f t="shared" si="21"/>
        <v/>
      </c>
      <c r="D230" s="74"/>
      <c r="E230" s="74"/>
      <c r="F230" s="74"/>
      <c r="G230" s="77"/>
      <c r="H230" s="180"/>
      <c r="I230" s="91"/>
      <c r="J230" s="75"/>
      <c r="K230" s="76"/>
      <c r="L230" s="76"/>
      <c r="M230" s="103" t="str">
        <f>IF(AND('331-CT'!$E$7=TH!I230,OR(K230="331",L230="331")),"x","")</f>
        <v/>
      </c>
      <c r="N230" s="103" t="str">
        <f>IF(AND($C230&gt;='1111'!$N$10,$C230&lt;='1111'!$O$10,OR($K230=$N$7,$L230=$N$7)),"x","")</f>
        <v/>
      </c>
      <c r="O230" s="103" t="str">
        <f>IF(AND($K230=$N$7,$C230&lt;'1111'!$N$10),"x","")</f>
        <v/>
      </c>
      <c r="P230" s="103" t="str">
        <f>IF(AND($L230=$N$7,$C230&lt;'1111'!$N$10),"x","")</f>
        <v/>
      </c>
      <c r="Q230" s="103" t="str">
        <f>IF(AND($C230&gt;='1121'!$N$9,$C230&lt;='1121'!$O$9,OR($K230=$Q$7,$L230=$Q$7)),"x","")</f>
        <v/>
      </c>
      <c r="R230" s="103" t="str">
        <f>IF(AND($K230=$Q$7,$C230&lt;'1121'!$N$9),"x","")</f>
        <v/>
      </c>
      <c r="S230" s="103" t="str">
        <f>IF(AND($L230=$Q$7,$C230&lt;'1121'!$N$9),"x","")</f>
        <v/>
      </c>
      <c r="T230" s="103" t="str">
        <f>IF(AND($C230&gt;='1331'!$I$9,$C230&lt;='1331'!$J$9,OR($K230=$T$7,$L230=$T$7)),"x","")</f>
        <v/>
      </c>
      <c r="U230" s="103" t="str">
        <f>IF(AND($K230=$T$7,$C230&lt;'1331'!$I$9),"x","")</f>
        <v/>
      </c>
      <c r="V230" s="103" t="str">
        <f>IF(AND($L230=$T$7,$C230&lt;'1331'!$I$9),"x","")</f>
        <v/>
      </c>
      <c r="W230" s="103" t="str">
        <f>IF(AND('3411-CT'!$E$9=TH!I230,OR(TH!K230=TH!$W$7,L230=TH!$W$7)),"x","")</f>
        <v/>
      </c>
      <c r="X230" s="103" t="str">
        <f>IF(OR(TH!K230=TH!$X$7,L230=TH!$X$7),"x","")</f>
        <v/>
      </c>
    </row>
    <row r="231" spans="1:24">
      <c r="A231" s="178" t="str">
        <f>IF(E231&lt;&gt;"",IF(AND(B231='IN - TC'!$Q$4,OR(TH!K231="1111",TH!L231="1111")),TH!E231,""),"")</f>
        <v/>
      </c>
      <c r="B231" s="73" t="str">
        <f t="shared" si="20"/>
        <v/>
      </c>
      <c r="C231" s="73" t="str">
        <f t="shared" si="21"/>
        <v/>
      </c>
      <c r="D231" s="74"/>
      <c r="E231" s="74"/>
      <c r="F231" s="74"/>
      <c r="G231" s="77"/>
      <c r="H231" s="180"/>
      <c r="I231" s="91"/>
      <c r="J231" s="75"/>
      <c r="K231" s="76"/>
      <c r="L231" s="76"/>
      <c r="M231" s="103" t="str">
        <f>IF(AND('331-CT'!$E$7=TH!I231,OR(K231="331",L231="331")),"x","")</f>
        <v/>
      </c>
      <c r="N231" s="103" t="str">
        <f>IF(AND($C231&gt;='1111'!$N$10,$C231&lt;='1111'!$O$10,OR($K231=$N$7,$L231=$N$7)),"x","")</f>
        <v/>
      </c>
      <c r="O231" s="103" t="str">
        <f>IF(AND($K231=$N$7,$C231&lt;'1111'!$N$10),"x","")</f>
        <v/>
      </c>
      <c r="P231" s="103" t="str">
        <f>IF(AND($L231=$N$7,$C231&lt;'1111'!$N$10),"x","")</f>
        <v/>
      </c>
      <c r="Q231" s="103" t="str">
        <f>IF(AND($C231&gt;='1121'!$N$9,$C231&lt;='1121'!$O$9,OR($K231=$Q$7,$L231=$Q$7)),"x","")</f>
        <v/>
      </c>
      <c r="R231" s="103" t="str">
        <f>IF(AND($K231=$Q$7,$C231&lt;'1121'!$N$9),"x","")</f>
        <v/>
      </c>
      <c r="S231" s="103" t="str">
        <f>IF(AND($L231=$Q$7,$C231&lt;'1121'!$N$9),"x","")</f>
        <v/>
      </c>
      <c r="T231" s="103" t="str">
        <f>IF(AND($C231&gt;='1331'!$I$9,$C231&lt;='1331'!$J$9,OR($K231=$T$7,$L231=$T$7)),"x","")</f>
        <v/>
      </c>
      <c r="U231" s="103" t="str">
        <f>IF(AND($K231=$T$7,$C231&lt;'1331'!$I$9),"x","")</f>
        <v/>
      </c>
      <c r="V231" s="103" t="str">
        <f>IF(AND($L231=$T$7,$C231&lt;'1331'!$I$9),"x","")</f>
        <v/>
      </c>
      <c r="W231" s="103" t="str">
        <f>IF(AND('3411-CT'!$E$9=TH!I231,OR(TH!K231=TH!$W$7,L231=TH!$W$7)),"x","")</f>
        <v/>
      </c>
      <c r="X231" s="103" t="str">
        <f>IF(OR(TH!K231=TH!$X$7,L231=TH!$X$7),"x","")</f>
        <v/>
      </c>
    </row>
    <row r="232" spans="1:24">
      <c r="A232" s="178" t="str">
        <f>IF(E232&lt;&gt;"",IF(AND(B232='IN - TC'!$Q$4,OR(TH!K232="1111",TH!L232="1111")),TH!E232,""),"")</f>
        <v/>
      </c>
      <c r="B232" s="73" t="str">
        <f t="shared" si="20"/>
        <v/>
      </c>
      <c r="C232" s="73" t="str">
        <f t="shared" si="21"/>
        <v/>
      </c>
      <c r="D232" s="74"/>
      <c r="E232" s="74"/>
      <c r="F232" s="74"/>
      <c r="G232" s="77"/>
      <c r="H232" s="180"/>
      <c r="I232" s="91"/>
      <c r="J232" s="75"/>
      <c r="K232" s="76"/>
      <c r="L232" s="76"/>
      <c r="M232" s="103" t="str">
        <f>IF(AND('331-CT'!$E$7=TH!I232,OR(K232="331",L232="331")),"x","")</f>
        <v/>
      </c>
      <c r="N232" s="103" t="str">
        <f>IF(AND($C232&gt;='1111'!$N$10,$C232&lt;='1111'!$O$10,OR($K232=$N$7,$L232=$N$7)),"x","")</f>
        <v/>
      </c>
      <c r="O232" s="103" t="str">
        <f>IF(AND($K232=$N$7,$C232&lt;'1111'!$N$10),"x","")</f>
        <v/>
      </c>
      <c r="P232" s="103" t="str">
        <f>IF(AND($L232=$N$7,$C232&lt;'1111'!$N$10),"x","")</f>
        <v/>
      </c>
      <c r="Q232" s="103" t="str">
        <f>IF(AND($C232&gt;='1121'!$N$9,$C232&lt;='1121'!$O$9,OR($K232=$Q$7,$L232=$Q$7)),"x","")</f>
        <v/>
      </c>
      <c r="R232" s="103" t="str">
        <f>IF(AND($K232=$Q$7,$C232&lt;'1121'!$N$9),"x","")</f>
        <v/>
      </c>
      <c r="S232" s="103" t="str">
        <f>IF(AND($L232=$Q$7,$C232&lt;'1121'!$N$9),"x","")</f>
        <v/>
      </c>
      <c r="T232" s="103" t="str">
        <f>IF(AND($C232&gt;='1331'!$I$9,$C232&lt;='1331'!$J$9,OR($K232=$T$7,$L232=$T$7)),"x","")</f>
        <v/>
      </c>
      <c r="U232" s="103" t="str">
        <f>IF(AND($K232=$T$7,$C232&lt;'1331'!$I$9),"x","")</f>
        <v/>
      </c>
      <c r="V232" s="103" t="str">
        <f>IF(AND($L232=$T$7,$C232&lt;'1331'!$I$9),"x","")</f>
        <v/>
      </c>
      <c r="W232" s="103" t="str">
        <f>IF(AND('3411-CT'!$E$9=TH!I232,OR(TH!K232=TH!$W$7,L232=TH!$W$7)),"x","")</f>
        <v/>
      </c>
      <c r="X232" s="103" t="str">
        <f>IF(OR(TH!K232=TH!$X$7,L232=TH!$X$7),"x","")</f>
        <v/>
      </c>
    </row>
    <row r="233" spans="1:24">
      <c r="A233" s="178" t="str">
        <f>IF(E233&lt;&gt;"",IF(AND(B233='IN - TC'!$Q$4,OR(TH!K233="1111",TH!L233="1111")),TH!E233,""),"")</f>
        <v/>
      </c>
      <c r="B233" s="73" t="str">
        <f t="shared" si="20"/>
        <v/>
      </c>
      <c r="C233" s="73" t="str">
        <f t="shared" si="21"/>
        <v/>
      </c>
      <c r="D233" s="74"/>
      <c r="E233" s="74"/>
      <c r="F233" s="74"/>
      <c r="G233" s="77"/>
      <c r="H233" s="180"/>
      <c r="I233" s="91"/>
      <c r="J233" s="75"/>
      <c r="K233" s="76"/>
      <c r="L233" s="76"/>
      <c r="M233" s="103" t="str">
        <f>IF(AND('331-CT'!$E$7=TH!I233,OR(K233="331",L233="331")),"x","")</f>
        <v/>
      </c>
      <c r="N233" s="103" t="str">
        <f>IF(AND($C233&gt;='1111'!$N$10,$C233&lt;='1111'!$O$10,OR($K233=$N$7,$L233=$N$7)),"x","")</f>
        <v/>
      </c>
      <c r="O233" s="103" t="str">
        <f>IF(AND($K233=$N$7,$C233&lt;'1111'!$N$10),"x","")</f>
        <v/>
      </c>
      <c r="P233" s="103" t="str">
        <f>IF(AND($L233=$N$7,$C233&lt;'1111'!$N$10),"x","")</f>
        <v/>
      </c>
      <c r="Q233" s="103" t="str">
        <f>IF(AND($C233&gt;='1121'!$N$9,$C233&lt;='1121'!$O$9,OR($K233=$Q$7,$L233=$Q$7)),"x","")</f>
        <v/>
      </c>
      <c r="R233" s="103" t="str">
        <f>IF(AND($K233=$Q$7,$C233&lt;'1121'!$N$9),"x","")</f>
        <v/>
      </c>
      <c r="S233" s="103" t="str">
        <f>IF(AND($L233=$Q$7,$C233&lt;'1121'!$N$9),"x","")</f>
        <v/>
      </c>
      <c r="T233" s="103" t="str">
        <f>IF(AND($C233&gt;='1331'!$I$9,$C233&lt;='1331'!$J$9,OR($K233=$T$7,$L233=$T$7)),"x","")</f>
        <v/>
      </c>
      <c r="U233" s="103" t="str">
        <f>IF(AND($K233=$T$7,$C233&lt;'1331'!$I$9),"x","")</f>
        <v/>
      </c>
      <c r="V233" s="103" t="str">
        <f>IF(AND($L233=$T$7,$C233&lt;'1331'!$I$9),"x","")</f>
        <v/>
      </c>
      <c r="W233" s="103" t="str">
        <f>IF(AND('3411-CT'!$E$9=TH!I233,OR(TH!K233=TH!$W$7,L233=TH!$W$7)),"x","")</f>
        <v/>
      </c>
      <c r="X233" s="103" t="str">
        <f>IF(OR(TH!K233=TH!$X$7,L233=TH!$X$7),"x","")</f>
        <v/>
      </c>
    </row>
    <row r="234" spans="1:24">
      <c r="A234" s="178" t="str">
        <f>IF(E234&lt;&gt;"",IF(AND(B234='IN - TC'!$Q$4,OR(TH!K234="1111",TH!L234="1111")),TH!E234,""),"")</f>
        <v/>
      </c>
      <c r="B234" s="73" t="str">
        <f t="shared" si="20"/>
        <v/>
      </c>
      <c r="C234" s="73" t="str">
        <f t="shared" si="21"/>
        <v/>
      </c>
      <c r="D234" s="74"/>
      <c r="E234" s="74"/>
      <c r="F234" s="74"/>
      <c r="G234" s="77"/>
      <c r="H234" s="180"/>
      <c r="I234" s="91"/>
      <c r="J234" s="75"/>
      <c r="K234" s="76"/>
      <c r="L234" s="76"/>
      <c r="M234" s="103" t="str">
        <f>IF(AND('331-CT'!$E$7=TH!I234,OR(K234="331",L234="331")),"x","")</f>
        <v/>
      </c>
      <c r="N234" s="103" t="str">
        <f>IF(AND($C234&gt;='1111'!$N$10,$C234&lt;='1111'!$O$10,OR($K234=$N$7,$L234=$N$7)),"x","")</f>
        <v/>
      </c>
      <c r="O234" s="103" t="str">
        <f>IF(AND($K234=$N$7,$C234&lt;'1111'!$N$10),"x","")</f>
        <v/>
      </c>
      <c r="P234" s="103" t="str">
        <f>IF(AND($L234=$N$7,$C234&lt;'1111'!$N$10),"x","")</f>
        <v/>
      </c>
      <c r="Q234" s="103" t="str">
        <f>IF(AND($C234&gt;='1121'!$N$9,$C234&lt;='1121'!$O$9,OR($K234=$Q$7,$L234=$Q$7)),"x","")</f>
        <v/>
      </c>
      <c r="R234" s="103" t="str">
        <f>IF(AND($K234=$Q$7,$C234&lt;'1121'!$N$9),"x","")</f>
        <v/>
      </c>
      <c r="S234" s="103" t="str">
        <f>IF(AND($L234=$Q$7,$C234&lt;'1121'!$N$9),"x","")</f>
        <v/>
      </c>
      <c r="T234" s="103" t="str">
        <f>IF(AND($C234&gt;='1331'!$I$9,$C234&lt;='1331'!$J$9,OR($K234=$T$7,$L234=$T$7)),"x","")</f>
        <v/>
      </c>
      <c r="U234" s="103" t="str">
        <f>IF(AND($K234=$T$7,$C234&lt;'1331'!$I$9),"x","")</f>
        <v/>
      </c>
      <c r="V234" s="103" t="str">
        <f>IF(AND($L234=$T$7,$C234&lt;'1331'!$I$9),"x","")</f>
        <v/>
      </c>
      <c r="W234" s="103" t="str">
        <f>IF(AND('3411-CT'!$E$9=TH!I234,OR(TH!K234=TH!$W$7,L234=TH!$W$7)),"x","")</f>
        <v/>
      </c>
      <c r="X234" s="103" t="str">
        <f>IF(OR(TH!K234=TH!$X$7,L234=TH!$X$7),"x","")</f>
        <v/>
      </c>
    </row>
    <row r="235" spans="1:24">
      <c r="A235" s="178" t="str">
        <f>IF(E235&lt;&gt;"",IF(AND(B235='IN - TC'!$Q$4,OR(TH!K235="1111",TH!L235="1111")),TH!E235,""),"")</f>
        <v/>
      </c>
      <c r="B235" s="73" t="str">
        <f t="shared" si="20"/>
        <v/>
      </c>
      <c r="C235" s="73" t="str">
        <f t="shared" si="21"/>
        <v/>
      </c>
      <c r="D235" s="74"/>
      <c r="E235" s="74"/>
      <c r="F235" s="74"/>
      <c r="G235" s="77"/>
      <c r="H235" s="180"/>
      <c r="I235" s="91"/>
      <c r="J235" s="75"/>
      <c r="K235" s="76"/>
      <c r="L235" s="76"/>
      <c r="M235" s="103" t="str">
        <f>IF(AND('331-CT'!$E$7=TH!I235,OR(K235="331",L235="331")),"x","")</f>
        <v/>
      </c>
      <c r="N235" s="103" t="str">
        <f>IF(AND($C235&gt;='1111'!$N$10,$C235&lt;='1111'!$O$10,OR($K235=$N$7,$L235=$N$7)),"x","")</f>
        <v/>
      </c>
      <c r="O235" s="103" t="str">
        <f>IF(AND($K235=$N$7,$C235&lt;'1111'!$N$10),"x","")</f>
        <v/>
      </c>
      <c r="P235" s="103" t="str">
        <f>IF(AND($L235=$N$7,$C235&lt;'1111'!$N$10),"x","")</f>
        <v/>
      </c>
      <c r="Q235" s="103" t="str">
        <f>IF(AND($C235&gt;='1121'!$N$9,$C235&lt;='1121'!$O$9,OR($K235=$Q$7,$L235=$Q$7)),"x","")</f>
        <v/>
      </c>
      <c r="R235" s="103" t="str">
        <f>IF(AND($K235=$Q$7,$C235&lt;'1121'!$N$9),"x","")</f>
        <v/>
      </c>
      <c r="S235" s="103" t="str">
        <f>IF(AND($L235=$Q$7,$C235&lt;'1121'!$N$9),"x","")</f>
        <v/>
      </c>
      <c r="T235" s="103" t="str">
        <f>IF(AND($C235&gt;='1331'!$I$9,$C235&lt;='1331'!$J$9,OR($K235=$T$7,$L235=$T$7)),"x","")</f>
        <v/>
      </c>
      <c r="U235" s="103" t="str">
        <f>IF(AND($K235=$T$7,$C235&lt;'1331'!$I$9),"x","")</f>
        <v/>
      </c>
      <c r="V235" s="103" t="str">
        <f>IF(AND($L235=$T$7,$C235&lt;'1331'!$I$9),"x","")</f>
        <v/>
      </c>
      <c r="W235" s="103" t="str">
        <f>IF(AND('3411-CT'!$E$9=TH!I235,OR(TH!K235=TH!$W$7,L235=TH!$W$7)),"x","")</f>
        <v/>
      </c>
      <c r="X235" s="103" t="str">
        <f>IF(OR(TH!K235=TH!$X$7,L235=TH!$X$7),"x","")</f>
        <v/>
      </c>
    </row>
    <row r="236" spans="1:24">
      <c r="A236" s="178" t="str">
        <f>IF(E236&lt;&gt;"",IF(AND(B236='IN - TC'!$Q$4,OR(TH!K236="1111",TH!L236="1111")),TH!E236,""),"")</f>
        <v/>
      </c>
      <c r="B236" s="73" t="str">
        <f t="shared" si="20"/>
        <v/>
      </c>
      <c r="C236" s="73" t="str">
        <f t="shared" si="21"/>
        <v/>
      </c>
      <c r="D236" s="74"/>
      <c r="E236" s="74"/>
      <c r="F236" s="74"/>
      <c r="G236" s="77"/>
      <c r="H236" s="180"/>
      <c r="I236" s="91"/>
      <c r="J236" s="75"/>
      <c r="K236" s="76"/>
      <c r="L236" s="76"/>
      <c r="M236" s="103" t="str">
        <f>IF(AND('331-CT'!$E$7=TH!I236,OR(K236="331",L236="331")),"x","")</f>
        <v/>
      </c>
      <c r="N236" s="103" t="str">
        <f>IF(AND($C236&gt;='1111'!$N$10,$C236&lt;='1111'!$O$10,OR($K236=$N$7,$L236=$N$7)),"x","")</f>
        <v/>
      </c>
      <c r="O236" s="103" t="str">
        <f>IF(AND($K236=$N$7,$C236&lt;'1111'!$N$10),"x","")</f>
        <v/>
      </c>
      <c r="P236" s="103" t="str">
        <f>IF(AND($L236=$N$7,$C236&lt;'1111'!$N$10),"x","")</f>
        <v/>
      </c>
      <c r="Q236" s="103" t="str">
        <f>IF(AND($C236&gt;='1121'!$N$9,$C236&lt;='1121'!$O$9,OR($K236=$Q$7,$L236=$Q$7)),"x","")</f>
        <v/>
      </c>
      <c r="R236" s="103" t="str">
        <f>IF(AND($K236=$Q$7,$C236&lt;'1121'!$N$9),"x","")</f>
        <v/>
      </c>
      <c r="S236" s="103" t="str">
        <f>IF(AND($L236=$Q$7,$C236&lt;'1121'!$N$9),"x","")</f>
        <v/>
      </c>
      <c r="T236" s="103" t="str">
        <f>IF(AND($C236&gt;='1331'!$I$9,$C236&lt;='1331'!$J$9,OR($K236=$T$7,$L236=$T$7)),"x","")</f>
        <v/>
      </c>
      <c r="U236" s="103" t="str">
        <f>IF(AND($K236=$T$7,$C236&lt;'1331'!$I$9),"x","")</f>
        <v/>
      </c>
      <c r="V236" s="103" t="str">
        <f>IF(AND($L236=$T$7,$C236&lt;'1331'!$I$9),"x","")</f>
        <v/>
      </c>
      <c r="W236" s="103" t="str">
        <f>IF(AND('3411-CT'!$E$9=TH!I236,OR(TH!K236=TH!$W$7,L236=TH!$W$7)),"x","")</f>
        <v/>
      </c>
      <c r="X236" s="103" t="str">
        <f>IF(OR(TH!K236=TH!$X$7,L236=TH!$X$7),"x","")</f>
        <v/>
      </c>
    </row>
  </sheetData>
  <autoFilter ref="A9:Q236">
    <filterColumn colId="1"/>
    <filterColumn colId="2"/>
    <filterColumn colId="10"/>
    <filterColumn colId="11"/>
    <filterColumn colId="13"/>
    <filterColumn colId="14"/>
    <filterColumn colId="15"/>
  </autoFilter>
  <sortState ref="A874:M883">
    <sortCondition ref="D874:D883"/>
  </sortState>
  <mergeCells count="18">
    <mergeCell ref="X7:X8"/>
    <mergeCell ref="W7:W8"/>
    <mergeCell ref="N7:P8"/>
    <mergeCell ref="Q7:S8"/>
    <mergeCell ref="T7:V8"/>
    <mergeCell ref="A7:A8"/>
    <mergeCell ref="C7:C8"/>
    <mergeCell ref="B7:B8"/>
    <mergeCell ref="I7:I8"/>
    <mergeCell ref="M7:M8"/>
    <mergeCell ref="D4:L4"/>
    <mergeCell ref="D5:L5"/>
    <mergeCell ref="D7:D8"/>
    <mergeCell ref="E7:F7"/>
    <mergeCell ref="G7:G8"/>
    <mergeCell ref="J7:J8"/>
    <mergeCell ref="K7:L7"/>
    <mergeCell ref="H7:H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20"/>
  <sheetViews>
    <sheetView topLeftCell="A7" workbookViewId="0">
      <pane xSplit="8" ySplit="5" topLeftCell="AR30" activePane="bottomRight" state="frozen"/>
      <selection activeCell="E170" sqref="E170"/>
      <selection pane="topRight" activeCell="E170" sqref="E170"/>
      <selection pane="bottomLeft" activeCell="E170" sqref="E170"/>
      <selection pane="bottomRight" activeCell="AV68" sqref="AV68"/>
    </sheetView>
  </sheetViews>
  <sheetFormatPr defaultRowHeight="12.75"/>
  <cols>
    <col min="1" max="1" width="4.85546875" style="399" customWidth="1"/>
    <col min="2" max="2" width="10.42578125" style="399" customWidth="1"/>
    <col min="3" max="3" width="7.42578125" style="399" customWidth="1"/>
    <col min="4" max="4" width="10.85546875" style="399" customWidth="1"/>
    <col min="5" max="5" width="40" style="399" customWidth="1"/>
    <col min="6" max="6" width="14.140625" style="399" customWidth="1"/>
    <col min="7" max="8" width="5.85546875" style="400" customWidth="1"/>
    <col min="9" max="9" width="4.85546875" style="399" customWidth="1"/>
    <col min="10" max="11" width="15.42578125" style="399" customWidth="1"/>
    <col min="12" max="13" width="16.140625" style="399" customWidth="1"/>
    <col min="14" max="14" width="14.7109375" style="399" customWidth="1"/>
    <col min="15" max="15" width="14.5703125" style="399" customWidth="1"/>
    <col min="16" max="16" width="8.140625" style="399" customWidth="1"/>
    <col min="17" max="17" width="7.28515625" style="399" customWidth="1"/>
    <col min="18" max="18" width="14.5703125" style="399" customWidth="1"/>
    <col min="19" max="19" width="7.140625" style="399" customWidth="1"/>
    <col min="20" max="20" width="15.28515625" style="399" customWidth="1"/>
    <col min="21" max="21" width="7.85546875" style="399" customWidth="1"/>
    <col min="22" max="22" width="9.5703125" style="399" customWidth="1"/>
    <col min="23" max="23" width="6" style="399" customWidth="1"/>
    <col min="24" max="24" width="11.28515625" style="399" customWidth="1"/>
    <col min="25" max="25" width="11.5703125" style="399" customWidth="1"/>
    <col min="26" max="26" width="14.140625" style="399" customWidth="1"/>
    <col min="27" max="27" width="13" style="399" customWidth="1"/>
    <col min="28" max="28" width="6.5703125" style="399" customWidth="1"/>
    <col min="29" max="29" width="15.7109375" style="399" customWidth="1"/>
    <col min="30" max="30" width="6.28515625" style="399" customWidth="1"/>
    <col min="31" max="31" width="15" style="399" customWidth="1"/>
    <col min="32" max="41" width="12.5703125" style="399" customWidth="1"/>
    <col min="42" max="42" width="10.140625" style="399" customWidth="1"/>
    <col min="43" max="43" width="11.85546875" style="399" customWidth="1"/>
    <col min="44" max="44" width="9.140625" style="399" customWidth="1"/>
    <col min="45" max="47" width="10.7109375" style="399" customWidth="1"/>
    <col min="48" max="48" width="14.28515625" style="399" customWidth="1"/>
    <col min="49" max="49" width="14.5703125" style="399" customWidth="1"/>
    <col min="50" max="16384" width="9.140625" style="399"/>
  </cols>
  <sheetData>
    <row r="1" spans="1:49" ht="12.75" customHeight="1">
      <c r="A1" s="395"/>
      <c r="B1" s="396" t="s">
        <v>180</v>
      </c>
      <c r="C1" s="397"/>
      <c r="D1" s="397"/>
      <c r="E1" s="398"/>
      <c r="I1" s="397"/>
      <c r="M1" s="498" t="s">
        <v>303</v>
      </c>
      <c r="N1" s="498"/>
      <c r="O1" s="498"/>
      <c r="P1" s="398"/>
      <c r="V1" s="397"/>
      <c r="W1" s="397"/>
      <c r="X1" s="398"/>
      <c r="Y1" s="398"/>
      <c r="Z1" s="398"/>
      <c r="AA1" s="398"/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8"/>
      <c r="AM1" s="398"/>
      <c r="AN1" s="398"/>
      <c r="AO1" s="398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282</v>
      </c>
      <c r="C2" s="397"/>
      <c r="D2" s="397"/>
      <c r="E2" s="397"/>
      <c r="I2" s="401"/>
      <c r="M2" s="499" t="s">
        <v>304</v>
      </c>
      <c r="N2" s="499"/>
      <c r="O2" s="499"/>
      <c r="P2" s="402"/>
      <c r="V2" s="401"/>
      <c r="W2" s="401"/>
      <c r="X2" s="402"/>
      <c r="Y2" s="402"/>
      <c r="Z2" s="402"/>
      <c r="AA2" s="402"/>
      <c r="AB2" s="402"/>
      <c r="AC2" s="402"/>
      <c r="AD2" s="402"/>
      <c r="AE2" s="402"/>
      <c r="AF2" s="402"/>
      <c r="AG2" s="402"/>
      <c r="AH2" s="402"/>
      <c r="AI2" s="402"/>
      <c r="AJ2" s="402"/>
      <c r="AK2" s="402"/>
      <c r="AL2" s="402"/>
      <c r="AM2" s="402"/>
      <c r="AN2" s="402"/>
      <c r="AO2" s="402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499"/>
      <c r="N3" s="499"/>
      <c r="O3" s="499"/>
      <c r="P3" s="402"/>
      <c r="V3" s="401"/>
      <c r="W3" s="401"/>
      <c r="X3" s="402"/>
      <c r="Y3" s="402"/>
      <c r="Z3" s="402"/>
      <c r="AA3" s="402"/>
      <c r="AB3" s="402"/>
      <c r="AC3" s="402"/>
      <c r="AD3" s="402"/>
      <c r="AE3" s="402"/>
      <c r="AF3" s="402"/>
      <c r="AG3" s="402"/>
      <c r="AH3" s="402"/>
      <c r="AI3" s="402"/>
      <c r="AJ3" s="402"/>
      <c r="AK3" s="402"/>
      <c r="AL3" s="402"/>
      <c r="AM3" s="402"/>
      <c r="AN3" s="402"/>
      <c r="AO3" s="402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00" t="s">
        <v>170</v>
      </c>
      <c r="C4" s="500"/>
      <c r="D4" s="500"/>
      <c r="E4" s="500"/>
      <c r="F4" s="500"/>
      <c r="G4" s="500"/>
      <c r="H4" s="500"/>
      <c r="I4" s="500"/>
      <c r="J4" s="500"/>
      <c r="K4" s="500"/>
      <c r="L4" s="500"/>
      <c r="M4" s="500"/>
      <c r="N4" s="500"/>
      <c r="O4" s="500"/>
      <c r="P4" s="500"/>
      <c r="Q4" s="404"/>
      <c r="R4" s="404"/>
      <c r="S4" s="404"/>
      <c r="T4" s="404"/>
      <c r="U4" s="404"/>
      <c r="V4" s="405"/>
      <c r="W4" s="405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  <c r="AK4" s="404"/>
      <c r="AL4" s="404"/>
      <c r="AM4" s="404"/>
      <c r="AN4" s="404"/>
      <c r="AO4" s="404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01" t="s">
        <v>434</v>
      </c>
      <c r="C5" s="501"/>
      <c r="D5" s="501"/>
      <c r="E5" s="501"/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407"/>
      <c r="R5" s="407"/>
      <c r="S5" s="407"/>
      <c r="T5" s="407"/>
      <c r="U5" s="407"/>
      <c r="V5" s="408"/>
      <c r="W5" s="408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</row>
    <row r="6" spans="1:49">
      <c r="N6" s="399" t="s">
        <v>233</v>
      </c>
    </row>
    <row r="7" spans="1:49" ht="13.5" customHeight="1">
      <c r="A7" s="502" t="s">
        <v>50</v>
      </c>
      <c r="B7" s="496" t="s">
        <v>30</v>
      </c>
      <c r="C7" s="504" t="s">
        <v>1</v>
      </c>
      <c r="D7" s="505"/>
      <c r="E7" s="496" t="s">
        <v>0</v>
      </c>
      <c r="F7" s="496" t="s">
        <v>171</v>
      </c>
      <c r="G7" s="506" t="s">
        <v>172</v>
      </c>
      <c r="H7" s="506"/>
      <c r="I7" s="497" t="s">
        <v>50</v>
      </c>
      <c r="J7" s="496" t="s">
        <v>305</v>
      </c>
      <c r="K7" s="496"/>
      <c r="L7" s="496" t="s">
        <v>306</v>
      </c>
      <c r="M7" s="496"/>
      <c r="N7" s="496" t="s">
        <v>307</v>
      </c>
      <c r="O7" s="496"/>
      <c r="P7" s="496" t="s">
        <v>308</v>
      </c>
      <c r="Q7" s="496"/>
      <c r="R7" s="496" t="s">
        <v>309</v>
      </c>
      <c r="S7" s="496"/>
      <c r="T7" s="496" t="s">
        <v>310</v>
      </c>
      <c r="U7" s="496"/>
      <c r="V7" s="496" t="s">
        <v>311</v>
      </c>
      <c r="W7" s="496"/>
      <c r="X7" s="496" t="s">
        <v>312</v>
      </c>
      <c r="Y7" s="496"/>
      <c r="Z7" s="496" t="s">
        <v>313</v>
      </c>
      <c r="AA7" s="496"/>
      <c r="AB7" s="496" t="s">
        <v>314</v>
      </c>
      <c r="AC7" s="496"/>
      <c r="AD7" s="496" t="s">
        <v>315</v>
      </c>
      <c r="AE7" s="496"/>
      <c r="AF7" s="496" t="s">
        <v>316</v>
      </c>
      <c r="AG7" s="496"/>
      <c r="AH7" s="496" t="s">
        <v>317</v>
      </c>
      <c r="AI7" s="496"/>
      <c r="AJ7" s="496" t="s">
        <v>318</v>
      </c>
      <c r="AK7" s="496"/>
      <c r="AL7" s="496" t="s">
        <v>319</v>
      </c>
      <c r="AM7" s="496"/>
      <c r="AN7" s="496" t="s">
        <v>320</v>
      </c>
      <c r="AO7" s="496"/>
      <c r="AP7" s="496" t="s">
        <v>321</v>
      </c>
      <c r="AQ7" s="496"/>
      <c r="AR7" s="496" t="s">
        <v>322</v>
      </c>
      <c r="AS7" s="496"/>
      <c r="AT7" s="496" t="s">
        <v>323</v>
      </c>
      <c r="AU7" s="496"/>
      <c r="AV7" s="496" t="s">
        <v>324</v>
      </c>
      <c r="AW7" s="496"/>
    </row>
    <row r="8" spans="1:49" ht="22.5" customHeight="1">
      <c r="A8" s="503"/>
      <c r="B8" s="496"/>
      <c r="C8" s="410" t="s">
        <v>19</v>
      </c>
      <c r="D8" s="409" t="s">
        <v>42</v>
      </c>
      <c r="E8" s="496"/>
      <c r="F8" s="496"/>
      <c r="G8" s="411" t="s">
        <v>32</v>
      </c>
      <c r="H8" s="411" t="s">
        <v>33</v>
      </c>
      <c r="I8" s="497"/>
      <c r="J8" s="409" t="s">
        <v>32</v>
      </c>
      <c r="K8" s="409" t="s">
        <v>33</v>
      </c>
      <c r="L8" s="409" t="s">
        <v>32</v>
      </c>
      <c r="M8" s="409" t="s">
        <v>33</v>
      </c>
      <c r="N8" s="409" t="s">
        <v>32</v>
      </c>
      <c r="O8" s="409" t="s">
        <v>33</v>
      </c>
      <c r="P8" s="409" t="s">
        <v>32</v>
      </c>
      <c r="Q8" s="409" t="s">
        <v>33</v>
      </c>
      <c r="R8" s="409" t="s">
        <v>32</v>
      </c>
      <c r="S8" s="409" t="s">
        <v>33</v>
      </c>
      <c r="T8" s="409" t="s">
        <v>32</v>
      </c>
      <c r="U8" s="409" t="s">
        <v>33</v>
      </c>
      <c r="V8" s="409" t="s">
        <v>32</v>
      </c>
      <c r="W8" s="409" t="s">
        <v>33</v>
      </c>
      <c r="X8" s="409" t="s">
        <v>32</v>
      </c>
      <c r="Y8" s="409" t="s">
        <v>33</v>
      </c>
      <c r="Z8" s="409" t="s">
        <v>32</v>
      </c>
      <c r="AA8" s="409" t="s">
        <v>33</v>
      </c>
      <c r="AB8" s="409" t="s">
        <v>32</v>
      </c>
      <c r="AC8" s="409" t="s">
        <v>33</v>
      </c>
      <c r="AD8" s="409" t="s">
        <v>32</v>
      </c>
      <c r="AE8" s="409" t="s">
        <v>33</v>
      </c>
      <c r="AF8" s="409" t="s">
        <v>32</v>
      </c>
      <c r="AG8" s="409" t="s">
        <v>33</v>
      </c>
      <c r="AH8" s="409" t="s">
        <v>32</v>
      </c>
      <c r="AI8" s="409" t="s">
        <v>33</v>
      </c>
      <c r="AJ8" s="409" t="s">
        <v>32</v>
      </c>
      <c r="AK8" s="409" t="s">
        <v>33</v>
      </c>
      <c r="AL8" s="409" t="s">
        <v>32</v>
      </c>
      <c r="AM8" s="409" t="s">
        <v>33</v>
      </c>
      <c r="AN8" s="409" t="s">
        <v>32</v>
      </c>
      <c r="AO8" s="409" t="s">
        <v>33</v>
      </c>
      <c r="AP8" s="409" t="s">
        <v>32</v>
      </c>
      <c r="AQ8" s="409" t="s">
        <v>33</v>
      </c>
      <c r="AR8" s="409" t="s">
        <v>32</v>
      </c>
      <c r="AS8" s="409" t="s">
        <v>33</v>
      </c>
      <c r="AT8" s="409" t="s">
        <v>32</v>
      </c>
      <c r="AU8" s="409" t="s">
        <v>33</v>
      </c>
      <c r="AV8" s="409" t="s">
        <v>32</v>
      </c>
      <c r="AW8" s="409" t="s">
        <v>33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.75" customHeight="1">
      <c r="A10" s="73" t="str">
        <f t="array" ref="A10">IF(C10&lt;&gt;0,SUM(($C10:C$16&lt;&gt;0)*1),"")</f>
        <v/>
      </c>
      <c r="B10" s="414"/>
      <c r="C10" s="415"/>
      <c r="D10" s="414"/>
      <c r="E10" s="416" t="s">
        <v>325</v>
      </c>
      <c r="F10" s="417"/>
      <c r="G10" s="418"/>
      <c r="H10" s="418"/>
      <c r="I10" s="419"/>
      <c r="J10" s="420">
        <f>CDPS!C10</f>
        <v>3024643500</v>
      </c>
      <c r="K10" s="420">
        <f>CDPS!D10</f>
        <v>0</v>
      </c>
      <c r="L10" s="420">
        <f>CDPS!C12</f>
        <v>628500</v>
      </c>
      <c r="M10" s="420">
        <f>CDPS!D12</f>
        <v>0</v>
      </c>
      <c r="N10" s="420">
        <f>CDPS!C14</f>
        <v>0</v>
      </c>
      <c r="O10" s="420">
        <f>CDPS!D14</f>
        <v>0</v>
      </c>
      <c r="P10" s="420">
        <f>CDPS!C16</f>
        <v>0</v>
      </c>
      <c r="Q10" s="420">
        <f>CDPS!D16</f>
        <v>0</v>
      </c>
      <c r="R10" s="420">
        <f>CDPS!C18</f>
        <v>0</v>
      </c>
      <c r="S10" s="420">
        <f>CDPS!D18</f>
        <v>0</v>
      </c>
      <c r="T10" s="420">
        <f>CDPS!C20</f>
        <v>850000000</v>
      </c>
      <c r="U10" s="420">
        <f>CDPS!D20</f>
        <v>0</v>
      </c>
      <c r="V10" s="420">
        <f>CDPS!C21</f>
        <v>0</v>
      </c>
      <c r="W10" s="420">
        <f>CDPS!D21</f>
        <v>0</v>
      </c>
      <c r="X10" s="420">
        <f>CDPS!C22</f>
        <v>0</v>
      </c>
      <c r="Y10" s="420">
        <f>CDPS!D22</f>
        <v>0</v>
      </c>
      <c r="Z10" s="420">
        <f>CDPS!C25</f>
        <v>0</v>
      </c>
      <c r="AA10" s="420">
        <f>CDPS!D25</f>
        <v>0</v>
      </c>
      <c r="AB10" s="420">
        <f>CDPS!C27</f>
        <v>0</v>
      </c>
      <c r="AC10" s="420">
        <f>CDPS!D27</f>
        <v>0</v>
      </c>
      <c r="AD10" s="420">
        <f>CDPS!C29</f>
        <v>0</v>
      </c>
      <c r="AE10" s="420">
        <f>CDPS!D29</f>
        <v>4000000000</v>
      </c>
      <c r="AF10" s="420">
        <f>CDPS!C31</f>
        <v>122686800</v>
      </c>
      <c r="AG10" s="420">
        <f>CDPS!D31</f>
        <v>0</v>
      </c>
      <c r="AH10" s="420">
        <f>CDPS!C32</f>
        <v>2041200</v>
      </c>
      <c r="AI10" s="420">
        <f>CDPS!D32</f>
        <v>0</v>
      </c>
      <c r="AJ10" s="420">
        <f>CDPS!C34</f>
        <v>0</v>
      </c>
      <c r="AK10" s="420">
        <f>CDPS!D34</f>
        <v>0</v>
      </c>
      <c r="AL10" s="420">
        <v>0</v>
      </c>
      <c r="AM10" s="420">
        <v>0</v>
      </c>
      <c r="AN10" s="420">
        <v>0</v>
      </c>
      <c r="AO10" s="420">
        <v>0</v>
      </c>
      <c r="AP10" s="420">
        <v>0</v>
      </c>
      <c r="AQ10" s="420">
        <v>0</v>
      </c>
      <c r="AR10" s="420">
        <v>0</v>
      </c>
      <c r="AS10" s="420">
        <v>0</v>
      </c>
      <c r="AT10" s="420">
        <v>0</v>
      </c>
      <c r="AU10" s="420">
        <v>0</v>
      </c>
      <c r="AV10" s="420">
        <v>0</v>
      </c>
      <c r="AW10" s="420">
        <v>0</v>
      </c>
    </row>
    <row r="11" spans="1:49" s="421" customFormat="1" ht="12.75" customHeight="1">
      <c r="A11" s="73">
        <f t="array" ref="A11">IF(C11&lt;&gt;0,SUM(($C$11:C11&lt;&gt;0)*1),"")</f>
        <v>1</v>
      </c>
      <c r="B11" s="422">
        <v>41641</v>
      </c>
      <c r="C11" s="316" t="s">
        <v>11</v>
      </c>
      <c r="D11" s="316">
        <v>41641</v>
      </c>
      <c r="E11" s="423" t="s">
        <v>333</v>
      </c>
      <c r="F11" s="75">
        <v>58000000</v>
      </c>
      <c r="G11" s="425" t="s">
        <v>34</v>
      </c>
      <c r="H11" s="425" t="s">
        <v>23</v>
      </c>
      <c r="I11" s="73">
        <f t="shared" ref="I11:I34" si="0">A11</f>
        <v>1</v>
      </c>
      <c r="J11" s="426">
        <f t="shared" ref="J11:J59" si="1">IF($G11="1111",$F11,0)</f>
        <v>0</v>
      </c>
      <c r="K11" s="426">
        <f t="shared" ref="K11:K59" si="2">IF($H11="1111",$F11,0)</f>
        <v>0</v>
      </c>
      <c r="L11" s="426">
        <f t="shared" ref="L11:L59" si="3">IF($G11="1121",$F11,0)</f>
        <v>58000000</v>
      </c>
      <c r="M11" s="426">
        <f t="shared" ref="M11:M59" si="4">IF($H11="1121",$F11,0)</f>
        <v>0</v>
      </c>
      <c r="N11" s="426">
        <f t="shared" ref="N11:N59" si="5">IF($G11="1331",$F11,0)</f>
        <v>0</v>
      </c>
      <c r="O11" s="426">
        <f t="shared" ref="O11:O59" si="6">IF($H11="1331",$F11,0)</f>
        <v>0</v>
      </c>
      <c r="P11" s="426">
        <f t="shared" ref="P11:P59" si="7">IF($G11="1388",$F11,0)</f>
        <v>0</v>
      </c>
      <c r="Q11" s="426">
        <f t="shared" ref="Q11:Q59" si="8">IF($H11="1388",$F11,0)</f>
        <v>0</v>
      </c>
      <c r="R11" s="426">
        <f>IF($G11="2412",$F11,0)</f>
        <v>0</v>
      </c>
      <c r="S11" s="426">
        <f>IF($H11="2412",$F11,0)</f>
        <v>0</v>
      </c>
      <c r="T11" s="426">
        <f t="shared" ref="T11:T59" si="9">IF($G11="331",$F11,0)</f>
        <v>0</v>
      </c>
      <c r="U11" s="426">
        <f t="shared" ref="U11:U59" si="10">IF($H11="331",$F11,0)</f>
        <v>0</v>
      </c>
      <c r="V11" s="426">
        <f t="shared" ref="V11:V59" si="11">IF($G11="3334",$F11,0)</f>
        <v>0</v>
      </c>
      <c r="W11" s="426">
        <f t="shared" ref="W11:W59" si="12">IF($H11="3334",$F11,0)</f>
        <v>0</v>
      </c>
      <c r="X11" s="426">
        <f t="shared" ref="X11:X59" si="13">IF($G11="33382",$F11,0)</f>
        <v>0</v>
      </c>
      <c r="Y11" s="426">
        <f t="shared" ref="Y11:Y59" si="14">IF($H11="33382",$F11,0)</f>
        <v>0</v>
      </c>
      <c r="Z11" s="426">
        <f t="shared" ref="Z11:Z59" si="15">IF($G11="3388",$F11,0)</f>
        <v>0</v>
      </c>
      <c r="AA11" s="426">
        <f t="shared" ref="AA11:AA59" si="16">IF($H11="3388",$F11,0)</f>
        <v>58000000</v>
      </c>
      <c r="AB11" s="426">
        <f t="shared" ref="AB11:AB59" si="17">IF($G11="3411",$F11,0)</f>
        <v>0</v>
      </c>
      <c r="AC11" s="426">
        <f t="shared" ref="AC11:AC59" si="18">IF($H11="3411",$F11,0)</f>
        <v>0</v>
      </c>
      <c r="AD11" s="426">
        <f t="shared" ref="AD11:AD59" si="19">IF($G11="4111",$F11,0)</f>
        <v>0</v>
      </c>
      <c r="AE11" s="426">
        <f t="shared" ref="AE11:AE59" si="20">IF($H11="4111",$F11,0)</f>
        <v>0</v>
      </c>
      <c r="AF11" s="426">
        <f t="shared" ref="AF11:AF59" si="21">IF($G11="4211",$F11,0)</f>
        <v>0</v>
      </c>
      <c r="AG11" s="426">
        <f t="shared" ref="AG11:AG59" si="22">IF($H11="4211",$F11,0)</f>
        <v>0</v>
      </c>
      <c r="AH11" s="426">
        <f t="shared" ref="AH11:AH59" si="23">IF($G11="4212",$F11,0)</f>
        <v>0</v>
      </c>
      <c r="AI11" s="426">
        <f t="shared" ref="AI11:AI59" si="24">IF($H11="4212",$F11,0)</f>
        <v>0</v>
      </c>
      <c r="AJ11" s="426">
        <f t="shared" ref="AJ11:AJ59" si="25">IF($G11="515",$F11,0)</f>
        <v>0</v>
      </c>
      <c r="AK11" s="426">
        <f t="shared" ref="AK11:AK59" si="26">IF($H11="515",$F11,0)</f>
        <v>0</v>
      </c>
      <c r="AL11" s="426">
        <f t="shared" ref="AL11:AL59" si="27">IF($G11="635",$F11,0)</f>
        <v>0</v>
      </c>
      <c r="AM11" s="426">
        <f t="shared" ref="AM11:AM59" si="28">IF($H11="635",$F11,0)</f>
        <v>0</v>
      </c>
      <c r="AN11" s="426">
        <f t="shared" ref="AN11:AN59" si="29">IF($G11="642",$F11,0)</f>
        <v>0</v>
      </c>
      <c r="AO11" s="426">
        <f t="shared" ref="AO11:AO59" si="30">IF($H11="642",$F11,0)</f>
        <v>0</v>
      </c>
      <c r="AP11" s="426">
        <f t="shared" ref="AP11:AP59" si="31">IF($G11="711",$F11,0)</f>
        <v>0</v>
      </c>
      <c r="AQ11" s="426">
        <f t="shared" ref="AQ11:AQ59" si="32">IF($H11="711",$F11,0)</f>
        <v>0</v>
      </c>
      <c r="AR11" s="426">
        <f t="shared" ref="AR11:AR59" si="33">IF($G11="811",$F11,0)</f>
        <v>0</v>
      </c>
      <c r="AS11" s="426">
        <f t="shared" ref="AS11:AS59" si="34">IF($H11="811",$F11,0)</f>
        <v>0</v>
      </c>
      <c r="AT11" s="426">
        <f t="shared" ref="AT11:AT59" si="35">IF($G11="821",$F11,0)</f>
        <v>0</v>
      </c>
      <c r="AU11" s="426">
        <f t="shared" ref="AU11:AU59" si="36">IF($H11="821",$F11,0)</f>
        <v>0</v>
      </c>
      <c r="AV11" s="426">
        <f t="shared" ref="AV11:AV59" si="37">IF($G11="911",$F11,0)</f>
        <v>0</v>
      </c>
      <c r="AW11" s="426">
        <f t="shared" ref="AW11:AW59" si="38">IF($H11="911",$F11,0)</f>
        <v>0</v>
      </c>
    </row>
    <row r="12" spans="1:49" s="421" customFormat="1" ht="12.75" customHeight="1">
      <c r="A12" s="73">
        <f t="array" ref="A12">IF(C12&lt;&gt;0,SUM(($C$11:C12&lt;&gt;0)*1),"")</f>
        <v>2</v>
      </c>
      <c r="B12" s="422">
        <v>41641</v>
      </c>
      <c r="C12" s="316" t="s">
        <v>8</v>
      </c>
      <c r="D12" s="316">
        <v>41641</v>
      </c>
      <c r="E12" s="423" t="s">
        <v>334</v>
      </c>
      <c r="F12" s="75">
        <v>29920000</v>
      </c>
      <c r="G12" s="425" t="s">
        <v>9</v>
      </c>
      <c r="H12" s="425" t="s">
        <v>34</v>
      </c>
      <c r="I12" s="73">
        <f t="shared" si="0"/>
        <v>2</v>
      </c>
      <c r="J12" s="426">
        <f t="shared" si="1"/>
        <v>0</v>
      </c>
      <c r="K12" s="426">
        <f t="shared" si="2"/>
        <v>0</v>
      </c>
      <c r="L12" s="426">
        <f t="shared" si="3"/>
        <v>0</v>
      </c>
      <c r="M12" s="426">
        <f t="shared" si="4"/>
        <v>29920000</v>
      </c>
      <c r="N12" s="426">
        <f t="shared" si="5"/>
        <v>0</v>
      </c>
      <c r="O12" s="426">
        <f t="shared" si="6"/>
        <v>0</v>
      </c>
      <c r="P12" s="426">
        <f t="shared" si="7"/>
        <v>0</v>
      </c>
      <c r="Q12" s="426">
        <f t="shared" si="8"/>
        <v>0</v>
      </c>
      <c r="R12" s="426">
        <f t="shared" ref="R12:R59" si="39">IF($G12="2412",$F12,0)</f>
        <v>0</v>
      </c>
      <c r="S12" s="426">
        <f t="shared" ref="S12:S59" si="40">IF($H12="2412",$F12,0)</f>
        <v>0</v>
      </c>
      <c r="T12" s="426">
        <f t="shared" si="9"/>
        <v>29920000</v>
      </c>
      <c r="U12" s="426">
        <f t="shared" si="10"/>
        <v>0</v>
      </c>
      <c r="V12" s="426">
        <f t="shared" si="11"/>
        <v>0</v>
      </c>
      <c r="W12" s="426">
        <f t="shared" si="12"/>
        <v>0</v>
      </c>
      <c r="X12" s="426">
        <f t="shared" si="13"/>
        <v>0</v>
      </c>
      <c r="Y12" s="426">
        <f t="shared" si="14"/>
        <v>0</v>
      </c>
      <c r="Z12" s="426">
        <f t="shared" si="15"/>
        <v>0</v>
      </c>
      <c r="AA12" s="426">
        <f t="shared" si="16"/>
        <v>0</v>
      </c>
      <c r="AB12" s="426">
        <f t="shared" si="17"/>
        <v>0</v>
      </c>
      <c r="AC12" s="426">
        <f t="shared" si="18"/>
        <v>0</v>
      </c>
      <c r="AD12" s="426">
        <f t="shared" si="19"/>
        <v>0</v>
      </c>
      <c r="AE12" s="426">
        <f t="shared" si="20"/>
        <v>0</v>
      </c>
      <c r="AF12" s="426">
        <f t="shared" si="21"/>
        <v>0</v>
      </c>
      <c r="AG12" s="426">
        <f t="shared" si="22"/>
        <v>0</v>
      </c>
      <c r="AH12" s="426">
        <f t="shared" si="23"/>
        <v>0</v>
      </c>
      <c r="AI12" s="426">
        <f t="shared" si="24"/>
        <v>0</v>
      </c>
      <c r="AJ12" s="426">
        <f t="shared" si="25"/>
        <v>0</v>
      </c>
      <c r="AK12" s="426">
        <f t="shared" si="26"/>
        <v>0</v>
      </c>
      <c r="AL12" s="426">
        <f t="shared" si="27"/>
        <v>0</v>
      </c>
      <c r="AM12" s="426">
        <f t="shared" si="28"/>
        <v>0</v>
      </c>
      <c r="AN12" s="426">
        <f t="shared" si="29"/>
        <v>0</v>
      </c>
      <c r="AO12" s="426">
        <f t="shared" si="30"/>
        <v>0</v>
      </c>
      <c r="AP12" s="426">
        <f t="shared" si="31"/>
        <v>0</v>
      </c>
      <c r="AQ12" s="426">
        <f t="shared" si="32"/>
        <v>0</v>
      </c>
      <c r="AR12" s="426">
        <f t="shared" si="33"/>
        <v>0</v>
      </c>
      <c r="AS12" s="426">
        <f t="shared" si="34"/>
        <v>0</v>
      </c>
      <c r="AT12" s="426">
        <f t="shared" si="35"/>
        <v>0</v>
      </c>
      <c r="AU12" s="426">
        <f t="shared" si="36"/>
        <v>0</v>
      </c>
      <c r="AV12" s="426">
        <f t="shared" si="37"/>
        <v>0</v>
      </c>
      <c r="AW12" s="426">
        <f t="shared" si="38"/>
        <v>0</v>
      </c>
    </row>
    <row r="13" spans="1:49" s="421" customFormat="1" ht="12.75" customHeight="1">
      <c r="A13" s="73">
        <f t="array" ref="A13">IF(C13&lt;&gt;0,SUM(($C$11:C13&lt;&gt;0)*1),"")</f>
        <v>3</v>
      </c>
      <c r="B13" s="422">
        <v>41641</v>
      </c>
      <c r="C13" s="316" t="s">
        <v>8</v>
      </c>
      <c r="D13" s="316">
        <v>41641</v>
      </c>
      <c r="E13" s="423" t="s">
        <v>21</v>
      </c>
      <c r="F13" s="75">
        <v>20000</v>
      </c>
      <c r="G13" s="425" t="s">
        <v>348</v>
      </c>
      <c r="H13" s="425" t="s">
        <v>34</v>
      </c>
      <c r="I13" s="73">
        <f t="shared" si="0"/>
        <v>3</v>
      </c>
      <c r="J13" s="426">
        <f t="shared" si="1"/>
        <v>0</v>
      </c>
      <c r="K13" s="426">
        <f t="shared" si="2"/>
        <v>0</v>
      </c>
      <c r="L13" s="426">
        <f t="shared" si="3"/>
        <v>0</v>
      </c>
      <c r="M13" s="426">
        <f t="shared" si="4"/>
        <v>20000</v>
      </c>
      <c r="N13" s="426">
        <f t="shared" si="5"/>
        <v>0</v>
      </c>
      <c r="O13" s="426">
        <f t="shared" si="6"/>
        <v>0</v>
      </c>
      <c r="P13" s="426">
        <f t="shared" si="7"/>
        <v>0</v>
      </c>
      <c r="Q13" s="426">
        <f t="shared" si="8"/>
        <v>0</v>
      </c>
      <c r="R13" s="426">
        <f t="shared" si="39"/>
        <v>0</v>
      </c>
      <c r="S13" s="426">
        <f t="shared" si="40"/>
        <v>0</v>
      </c>
      <c r="T13" s="426">
        <f t="shared" si="9"/>
        <v>0</v>
      </c>
      <c r="U13" s="426">
        <f t="shared" si="10"/>
        <v>0</v>
      </c>
      <c r="V13" s="426">
        <f t="shared" si="11"/>
        <v>0</v>
      </c>
      <c r="W13" s="426">
        <f t="shared" si="12"/>
        <v>0</v>
      </c>
      <c r="X13" s="426">
        <f t="shared" si="13"/>
        <v>0</v>
      </c>
      <c r="Y13" s="426">
        <f t="shared" si="14"/>
        <v>0</v>
      </c>
      <c r="Z13" s="426">
        <f t="shared" si="15"/>
        <v>0</v>
      </c>
      <c r="AA13" s="426">
        <f t="shared" si="16"/>
        <v>0</v>
      </c>
      <c r="AB13" s="426">
        <f t="shared" si="17"/>
        <v>0</v>
      </c>
      <c r="AC13" s="426">
        <f t="shared" si="18"/>
        <v>0</v>
      </c>
      <c r="AD13" s="426">
        <f t="shared" si="19"/>
        <v>0</v>
      </c>
      <c r="AE13" s="426">
        <f t="shared" si="20"/>
        <v>0</v>
      </c>
      <c r="AF13" s="426">
        <f t="shared" si="21"/>
        <v>0</v>
      </c>
      <c r="AG13" s="426">
        <f t="shared" si="22"/>
        <v>0</v>
      </c>
      <c r="AH13" s="426">
        <f t="shared" si="23"/>
        <v>0</v>
      </c>
      <c r="AI13" s="426">
        <f t="shared" si="24"/>
        <v>0</v>
      </c>
      <c r="AJ13" s="426">
        <f t="shared" si="25"/>
        <v>0</v>
      </c>
      <c r="AK13" s="426">
        <f t="shared" si="26"/>
        <v>0</v>
      </c>
      <c r="AL13" s="426">
        <f t="shared" si="27"/>
        <v>0</v>
      </c>
      <c r="AM13" s="426">
        <f t="shared" si="28"/>
        <v>0</v>
      </c>
      <c r="AN13" s="426">
        <f t="shared" si="29"/>
        <v>0</v>
      </c>
      <c r="AO13" s="426">
        <f t="shared" si="30"/>
        <v>0</v>
      </c>
      <c r="AP13" s="426">
        <f t="shared" si="31"/>
        <v>0</v>
      </c>
      <c r="AQ13" s="426">
        <f t="shared" si="32"/>
        <v>0</v>
      </c>
      <c r="AR13" s="426">
        <f t="shared" si="33"/>
        <v>0</v>
      </c>
      <c r="AS13" s="426">
        <f t="shared" si="34"/>
        <v>0</v>
      </c>
      <c r="AT13" s="426">
        <f t="shared" si="35"/>
        <v>0</v>
      </c>
      <c r="AU13" s="426">
        <f t="shared" si="36"/>
        <v>0</v>
      </c>
      <c r="AV13" s="426">
        <f t="shared" si="37"/>
        <v>0</v>
      </c>
      <c r="AW13" s="426">
        <f t="shared" si="38"/>
        <v>0</v>
      </c>
    </row>
    <row r="14" spans="1:49" s="421" customFormat="1" ht="12.75" customHeight="1">
      <c r="A14" s="73">
        <f t="array" ref="A14">IF(C14&lt;&gt;0,SUM(($C$11:C14&lt;&gt;0)*1),"")</f>
        <v>4</v>
      </c>
      <c r="B14" s="422">
        <v>41641</v>
      </c>
      <c r="C14" s="316" t="s">
        <v>8</v>
      </c>
      <c r="D14" s="316">
        <v>41641</v>
      </c>
      <c r="E14" s="423" t="s">
        <v>335</v>
      </c>
      <c r="F14" s="75">
        <v>2000</v>
      </c>
      <c r="G14" s="425" t="s">
        <v>10</v>
      </c>
      <c r="H14" s="425" t="s">
        <v>34</v>
      </c>
      <c r="I14" s="73">
        <f t="shared" si="0"/>
        <v>4</v>
      </c>
      <c r="J14" s="426">
        <f t="shared" si="1"/>
        <v>0</v>
      </c>
      <c r="K14" s="426">
        <f t="shared" si="2"/>
        <v>0</v>
      </c>
      <c r="L14" s="426">
        <f t="shared" si="3"/>
        <v>0</v>
      </c>
      <c r="M14" s="426">
        <f t="shared" si="4"/>
        <v>2000</v>
      </c>
      <c r="N14" s="426">
        <f t="shared" si="5"/>
        <v>2000</v>
      </c>
      <c r="O14" s="426">
        <f t="shared" si="6"/>
        <v>0</v>
      </c>
      <c r="P14" s="426">
        <f t="shared" si="7"/>
        <v>0</v>
      </c>
      <c r="Q14" s="426">
        <f t="shared" si="8"/>
        <v>0</v>
      </c>
      <c r="R14" s="426">
        <f t="shared" si="39"/>
        <v>0</v>
      </c>
      <c r="S14" s="426">
        <f t="shared" si="40"/>
        <v>0</v>
      </c>
      <c r="T14" s="426">
        <f t="shared" si="9"/>
        <v>0</v>
      </c>
      <c r="U14" s="426">
        <f t="shared" si="10"/>
        <v>0</v>
      </c>
      <c r="V14" s="426">
        <f t="shared" si="11"/>
        <v>0</v>
      </c>
      <c r="W14" s="426">
        <f t="shared" si="12"/>
        <v>0</v>
      </c>
      <c r="X14" s="426">
        <f t="shared" si="13"/>
        <v>0</v>
      </c>
      <c r="Y14" s="426">
        <f t="shared" si="14"/>
        <v>0</v>
      </c>
      <c r="Z14" s="426">
        <f t="shared" si="15"/>
        <v>0</v>
      </c>
      <c r="AA14" s="426">
        <f t="shared" si="16"/>
        <v>0</v>
      </c>
      <c r="AB14" s="426">
        <f t="shared" si="17"/>
        <v>0</v>
      </c>
      <c r="AC14" s="426">
        <f t="shared" si="18"/>
        <v>0</v>
      </c>
      <c r="AD14" s="426">
        <f t="shared" si="19"/>
        <v>0</v>
      </c>
      <c r="AE14" s="426">
        <f t="shared" si="20"/>
        <v>0</v>
      </c>
      <c r="AF14" s="426">
        <f t="shared" si="21"/>
        <v>0</v>
      </c>
      <c r="AG14" s="426">
        <f t="shared" si="22"/>
        <v>0</v>
      </c>
      <c r="AH14" s="426">
        <f t="shared" si="23"/>
        <v>0</v>
      </c>
      <c r="AI14" s="426">
        <f t="shared" si="24"/>
        <v>0</v>
      </c>
      <c r="AJ14" s="426">
        <f t="shared" si="25"/>
        <v>0</v>
      </c>
      <c r="AK14" s="426">
        <f t="shared" si="26"/>
        <v>0</v>
      </c>
      <c r="AL14" s="426">
        <f t="shared" si="27"/>
        <v>0</v>
      </c>
      <c r="AM14" s="426">
        <f t="shared" si="28"/>
        <v>0</v>
      </c>
      <c r="AN14" s="426">
        <f t="shared" si="29"/>
        <v>0</v>
      </c>
      <c r="AO14" s="426">
        <f t="shared" si="30"/>
        <v>0</v>
      </c>
      <c r="AP14" s="426">
        <f t="shared" si="31"/>
        <v>0</v>
      </c>
      <c r="AQ14" s="426">
        <f t="shared" si="32"/>
        <v>0</v>
      </c>
      <c r="AR14" s="426">
        <f t="shared" si="33"/>
        <v>0</v>
      </c>
      <c r="AS14" s="426">
        <f t="shared" si="34"/>
        <v>0</v>
      </c>
      <c r="AT14" s="426">
        <f t="shared" si="35"/>
        <v>0</v>
      </c>
      <c r="AU14" s="426">
        <f t="shared" si="36"/>
        <v>0</v>
      </c>
      <c r="AV14" s="426">
        <f t="shared" si="37"/>
        <v>0</v>
      </c>
      <c r="AW14" s="426">
        <f t="shared" si="38"/>
        <v>0</v>
      </c>
    </row>
    <row r="15" spans="1:49" s="421" customFormat="1" ht="12.75" customHeight="1">
      <c r="A15" s="73">
        <f t="array" ref="A15">IF(C15&lt;&gt;0,SUM(($C$11:C15&lt;&gt;0)*1),"")</f>
        <v>5</v>
      </c>
      <c r="B15" s="422">
        <v>41641</v>
      </c>
      <c r="C15" s="316" t="s">
        <v>8</v>
      </c>
      <c r="D15" s="316">
        <v>41641</v>
      </c>
      <c r="E15" s="423" t="s">
        <v>336</v>
      </c>
      <c r="F15" s="75">
        <v>27500000</v>
      </c>
      <c r="G15" s="425" t="s">
        <v>9</v>
      </c>
      <c r="H15" s="425" t="s">
        <v>34</v>
      </c>
      <c r="I15" s="73">
        <f t="shared" si="0"/>
        <v>5</v>
      </c>
      <c r="J15" s="426">
        <f t="shared" si="1"/>
        <v>0</v>
      </c>
      <c r="K15" s="426">
        <f t="shared" si="2"/>
        <v>0</v>
      </c>
      <c r="L15" s="426">
        <f t="shared" si="3"/>
        <v>0</v>
      </c>
      <c r="M15" s="426">
        <f t="shared" si="4"/>
        <v>27500000</v>
      </c>
      <c r="N15" s="426">
        <f t="shared" si="5"/>
        <v>0</v>
      </c>
      <c r="O15" s="426">
        <f t="shared" si="6"/>
        <v>0</v>
      </c>
      <c r="P15" s="426">
        <f t="shared" si="7"/>
        <v>0</v>
      </c>
      <c r="Q15" s="426">
        <f t="shared" si="8"/>
        <v>0</v>
      </c>
      <c r="R15" s="426">
        <f t="shared" si="39"/>
        <v>0</v>
      </c>
      <c r="S15" s="426">
        <f t="shared" si="40"/>
        <v>0</v>
      </c>
      <c r="T15" s="426">
        <f t="shared" si="9"/>
        <v>27500000</v>
      </c>
      <c r="U15" s="426">
        <f t="shared" si="10"/>
        <v>0</v>
      </c>
      <c r="V15" s="426">
        <f t="shared" si="11"/>
        <v>0</v>
      </c>
      <c r="W15" s="426">
        <f t="shared" si="12"/>
        <v>0</v>
      </c>
      <c r="X15" s="426">
        <f t="shared" si="13"/>
        <v>0</v>
      </c>
      <c r="Y15" s="426">
        <f t="shared" si="14"/>
        <v>0</v>
      </c>
      <c r="Z15" s="426">
        <f t="shared" si="15"/>
        <v>0</v>
      </c>
      <c r="AA15" s="426">
        <f t="shared" si="16"/>
        <v>0</v>
      </c>
      <c r="AB15" s="426">
        <f t="shared" si="17"/>
        <v>0</v>
      </c>
      <c r="AC15" s="426">
        <f t="shared" si="18"/>
        <v>0</v>
      </c>
      <c r="AD15" s="426">
        <f t="shared" si="19"/>
        <v>0</v>
      </c>
      <c r="AE15" s="426">
        <f t="shared" si="20"/>
        <v>0</v>
      </c>
      <c r="AF15" s="426">
        <f t="shared" si="21"/>
        <v>0</v>
      </c>
      <c r="AG15" s="426">
        <f t="shared" si="22"/>
        <v>0</v>
      </c>
      <c r="AH15" s="426">
        <f t="shared" si="23"/>
        <v>0</v>
      </c>
      <c r="AI15" s="426">
        <f t="shared" si="24"/>
        <v>0</v>
      </c>
      <c r="AJ15" s="426">
        <f t="shared" si="25"/>
        <v>0</v>
      </c>
      <c r="AK15" s="426">
        <f t="shared" si="26"/>
        <v>0</v>
      </c>
      <c r="AL15" s="426">
        <f t="shared" si="27"/>
        <v>0</v>
      </c>
      <c r="AM15" s="426">
        <f t="shared" si="28"/>
        <v>0</v>
      </c>
      <c r="AN15" s="426">
        <f t="shared" si="29"/>
        <v>0</v>
      </c>
      <c r="AO15" s="426">
        <f t="shared" si="30"/>
        <v>0</v>
      </c>
      <c r="AP15" s="426">
        <f t="shared" si="31"/>
        <v>0</v>
      </c>
      <c r="AQ15" s="426">
        <f t="shared" si="32"/>
        <v>0</v>
      </c>
      <c r="AR15" s="426">
        <f t="shared" si="33"/>
        <v>0</v>
      </c>
      <c r="AS15" s="426">
        <f t="shared" si="34"/>
        <v>0</v>
      </c>
      <c r="AT15" s="426">
        <f t="shared" si="35"/>
        <v>0</v>
      </c>
      <c r="AU15" s="426">
        <f t="shared" si="36"/>
        <v>0</v>
      </c>
      <c r="AV15" s="426">
        <f t="shared" si="37"/>
        <v>0</v>
      </c>
      <c r="AW15" s="426">
        <f t="shared" si="38"/>
        <v>0</v>
      </c>
    </row>
    <row r="16" spans="1:49" s="421" customFormat="1" ht="12.75" customHeight="1">
      <c r="A16" s="73">
        <f t="array" ref="A16">IF(C16&lt;&gt;0,SUM(($C$11:C16&lt;&gt;0)*1),"")</f>
        <v>6</v>
      </c>
      <c r="B16" s="422">
        <v>41641</v>
      </c>
      <c r="C16" s="316" t="s">
        <v>8</v>
      </c>
      <c r="D16" s="316">
        <v>41641</v>
      </c>
      <c r="E16" s="423" t="s">
        <v>21</v>
      </c>
      <c r="F16" s="75">
        <v>20000</v>
      </c>
      <c r="G16" s="425" t="s">
        <v>348</v>
      </c>
      <c r="H16" s="425" t="s">
        <v>34</v>
      </c>
      <c r="I16" s="73">
        <f t="shared" si="0"/>
        <v>6</v>
      </c>
      <c r="J16" s="426">
        <f t="shared" si="1"/>
        <v>0</v>
      </c>
      <c r="K16" s="426">
        <f t="shared" si="2"/>
        <v>0</v>
      </c>
      <c r="L16" s="426">
        <f t="shared" si="3"/>
        <v>0</v>
      </c>
      <c r="M16" s="426">
        <f t="shared" si="4"/>
        <v>20000</v>
      </c>
      <c r="N16" s="426">
        <f t="shared" si="5"/>
        <v>0</v>
      </c>
      <c r="O16" s="426">
        <f t="shared" si="6"/>
        <v>0</v>
      </c>
      <c r="P16" s="426">
        <f t="shared" si="7"/>
        <v>0</v>
      </c>
      <c r="Q16" s="426">
        <f t="shared" si="8"/>
        <v>0</v>
      </c>
      <c r="R16" s="426">
        <f t="shared" si="39"/>
        <v>0</v>
      </c>
      <c r="S16" s="426">
        <f t="shared" si="40"/>
        <v>0</v>
      </c>
      <c r="T16" s="426">
        <f t="shared" si="9"/>
        <v>0</v>
      </c>
      <c r="U16" s="426">
        <f t="shared" si="10"/>
        <v>0</v>
      </c>
      <c r="V16" s="426">
        <f t="shared" si="11"/>
        <v>0</v>
      </c>
      <c r="W16" s="426">
        <f t="shared" si="12"/>
        <v>0</v>
      </c>
      <c r="X16" s="426">
        <f t="shared" si="13"/>
        <v>0</v>
      </c>
      <c r="Y16" s="426">
        <f t="shared" si="14"/>
        <v>0</v>
      </c>
      <c r="Z16" s="426">
        <f t="shared" si="15"/>
        <v>0</v>
      </c>
      <c r="AA16" s="426">
        <f t="shared" si="16"/>
        <v>0</v>
      </c>
      <c r="AB16" s="426">
        <f t="shared" si="17"/>
        <v>0</v>
      </c>
      <c r="AC16" s="426">
        <f t="shared" si="18"/>
        <v>0</v>
      </c>
      <c r="AD16" s="426">
        <f t="shared" si="19"/>
        <v>0</v>
      </c>
      <c r="AE16" s="426">
        <f t="shared" si="20"/>
        <v>0</v>
      </c>
      <c r="AF16" s="426">
        <f t="shared" si="21"/>
        <v>0</v>
      </c>
      <c r="AG16" s="426">
        <f t="shared" si="22"/>
        <v>0</v>
      </c>
      <c r="AH16" s="426">
        <f t="shared" si="23"/>
        <v>0</v>
      </c>
      <c r="AI16" s="426">
        <f t="shared" si="24"/>
        <v>0</v>
      </c>
      <c r="AJ16" s="426">
        <f t="shared" si="25"/>
        <v>0</v>
      </c>
      <c r="AK16" s="426">
        <f t="shared" si="26"/>
        <v>0</v>
      </c>
      <c r="AL16" s="426">
        <f t="shared" si="27"/>
        <v>0</v>
      </c>
      <c r="AM16" s="426">
        <f t="shared" si="28"/>
        <v>0</v>
      </c>
      <c r="AN16" s="426">
        <f t="shared" si="29"/>
        <v>0</v>
      </c>
      <c r="AO16" s="426">
        <f t="shared" si="30"/>
        <v>0</v>
      </c>
      <c r="AP16" s="426">
        <f t="shared" si="31"/>
        <v>0</v>
      </c>
      <c r="AQ16" s="426">
        <f t="shared" si="32"/>
        <v>0</v>
      </c>
      <c r="AR16" s="426">
        <f t="shared" si="33"/>
        <v>0</v>
      </c>
      <c r="AS16" s="426">
        <f t="shared" si="34"/>
        <v>0</v>
      </c>
      <c r="AT16" s="426">
        <f t="shared" si="35"/>
        <v>0</v>
      </c>
      <c r="AU16" s="426">
        <f t="shared" si="36"/>
        <v>0</v>
      </c>
      <c r="AV16" s="426">
        <f t="shared" si="37"/>
        <v>0</v>
      </c>
      <c r="AW16" s="426">
        <f t="shared" si="38"/>
        <v>0</v>
      </c>
    </row>
    <row r="17" spans="1:49" s="421" customFormat="1" ht="12.75" customHeight="1">
      <c r="A17" s="73">
        <f t="array" ref="A17">IF(C17&lt;&gt;0,SUM(($C$11:C17&lt;&gt;0)*1),"")</f>
        <v>7</v>
      </c>
      <c r="B17" s="422">
        <v>41641</v>
      </c>
      <c r="C17" s="316" t="s">
        <v>8</v>
      </c>
      <c r="D17" s="316">
        <v>41641</v>
      </c>
      <c r="E17" s="423" t="s">
        <v>335</v>
      </c>
      <c r="F17" s="75">
        <v>2000</v>
      </c>
      <c r="G17" s="425" t="s">
        <v>10</v>
      </c>
      <c r="H17" s="425" t="s">
        <v>34</v>
      </c>
      <c r="I17" s="73">
        <f t="shared" si="0"/>
        <v>7</v>
      </c>
      <c r="J17" s="426">
        <f t="shared" si="1"/>
        <v>0</v>
      </c>
      <c r="K17" s="426">
        <f t="shared" si="2"/>
        <v>0</v>
      </c>
      <c r="L17" s="426">
        <f t="shared" si="3"/>
        <v>0</v>
      </c>
      <c r="M17" s="426">
        <f t="shared" si="4"/>
        <v>2000</v>
      </c>
      <c r="N17" s="426">
        <f t="shared" si="5"/>
        <v>2000</v>
      </c>
      <c r="O17" s="426">
        <f t="shared" si="6"/>
        <v>0</v>
      </c>
      <c r="P17" s="426">
        <f t="shared" si="7"/>
        <v>0</v>
      </c>
      <c r="Q17" s="426">
        <f t="shared" si="8"/>
        <v>0</v>
      </c>
      <c r="R17" s="426">
        <f t="shared" si="39"/>
        <v>0</v>
      </c>
      <c r="S17" s="426">
        <f t="shared" si="40"/>
        <v>0</v>
      </c>
      <c r="T17" s="426">
        <f t="shared" si="9"/>
        <v>0</v>
      </c>
      <c r="U17" s="426">
        <f t="shared" si="10"/>
        <v>0</v>
      </c>
      <c r="V17" s="426">
        <f t="shared" si="11"/>
        <v>0</v>
      </c>
      <c r="W17" s="426">
        <f t="shared" si="12"/>
        <v>0</v>
      </c>
      <c r="X17" s="426">
        <f t="shared" si="13"/>
        <v>0</v>
      </c>
      <c r="Y17" s="426">
        <f t="shared" si="14"/>
        <v>0</v>
      </c>
      <c r="Z17" s="426">
        <f t="shared" si="15"/>
        <v>0</v>
      </c>
      <c r="AA17" s="426">
        <f t="shared" si="16"/>
        <v>0</v>
      </c>
      <c r="AB17" s="426">
        <f t="shared" si="17"/>
        <v>0</v>
      </c>
      <c r="AC17" s="426">
        <f t="shared" si="18"/>
        <v>0</v>
      </c>
      <c r="AD17" s="426">
        <f t="shared" si="19"/>
        <v>0</v>
      </c>
      <c r="AE17" s="426">
        <f t="shared" si="20"/>
        <v>0</v>
      </c>
      <c r="AF17" s="426">
        <f t="shared" si="21"/>
        <v>0</v>
      </c>
      <c r="AG17" s="426">
        <f t="shared" si="22"/>
        <v>0</v>
      </c>
      <c r="AH17" s="426">
        <f t="shared" si="23"/>
        <v>0</v>
      </c>
      <c r="AI17" s="426">
        <f t="shared" si="24"/>
        <v>0</v>
      </c>
      <c r="AJ17" s="426">
        <f t="shared" si="25"/>
        <v>0</v>
      </c>
      <c r="AK17" s="426">
        <f t="shared" si="26"/>
        <v>0</v>
      </c>
      <c r="AL17" s="426">
        <f t="shared" si="27"/>
        <v>0</v>
      </c>
      <c r="AM17" s="426">
        <f t="shared" si="28"/>
        <v>0</v>
      </c>
      <c r="AN17" s="426">
        <f t="shared" si="29"/>
        <v>0</v>
      </c>
      <c r="AO17" s="426">
        <f t="shared" si="30"/>
        <v>0</v>
      </c>
      <c r="AP17" s="426">
        <f t="shared" si="31"/>
        <v>0</v>
      </c>
      <c r="AQ17" s="426">
        <f t="shared" si="32"/>
        <v>0</v>
      </c>
      <c r="AR17" s="426">
        <f t="shared" si="33"/>
        <v>0</v>
      </c>
      <c r="AS17" s="426">
        <f t="shared" si="34"/>
        <v>0</v>
      </c>
      <c r="AT17" s="426">
        <f t="shared" si="35"/>
        <v>0</v>
      </c>
      <c r="AU17" s="426">
        <f t="shared" si="36"/>
        <v>0</v>
      </c>
      <c r="AV17" s="426">
        <f t="shared" si="37"/>
        <v>0</v>
      </c>
      <c r="AW17" s="426">
        <f t="shared" si="38"/>
        <v>0</v>
      </c>
    </row>
    <row r="18" spans="1:49" s="421" customFormat="1" ht="12.75" customHeight="1">
      <c r="A18" s="73">
        <f t="array" ref="A18">IF(C18&lt;&gt;0,SUM(($C$11:C18&lt;&gt;0)*1),"")</f>
        <v>8</v>
      </c>
      <c r="B18" s="422">
        <v>41641</v>
      </c>
      <c r="C18" s="316" t="s">
        <v>45</v>
      </c>
      <c r="D18" s="316">
        <v>41641</v>
      </c>
      <c r="E18" s="423" t="s">
        <v>337</v>
      </c>
      <c r="F18" s="75">
        <v>58000000</v>
      </c>
      <c r="G18" s="425" t="s">
        <v>23</v>
      </c>
      <c r="H18" s="425" t="s">
        <v>120</v>
      </c>
      <c r="I18" s="73">
        <f t="shared" si="0"/>
        <v>8</v>
      </c>
      <c r="J18" s="426">
        <f t="shared" si="1"/>
        <v>0</v>
      </c>
      <c r="K18" s="426">
        <f t="shared" si="2"/>
        <v>58000000</v>
      </c>
      <c r="L18" s="426">
        <f t="shared" si="3"/>
        <v>0</v>
      </c>
      <c r="M18" s="426">
        <f t="shared" si="4"/>
        <v>0</v>
      </c>
      <c r="N18" s="426">
        <f t="shared" si="5"/>
        <v>0</v>
      </c>
      <c r="O18" s="426">
        <f t="shared" si="6"/>
        <v>0</v>
      </c>
      <c r="P18" s="426">
        <f t="shared" si="7"/>
        <v>0</v>
      </c>
      <c r="Q18" s="426">
        <f t="shared" si="8"/>
        <v>0</v>
      </c>
      <c r="R18" s="426">
        <f t="shared" si="39"/>
        <v>0</v>
      </c>
      <c r="S18" s="426">
        <f t="shared" si="40"/>
        <v>0</v>
      </c>
      <c r="T18" s="426">
        <f t="shared" si="9"/>
        <v>0</v>
      </c>
      <c r="U18" s="426">
        <f t="shared" si="10"/>
        <v>0</v>
      </c>
      <c r="V18" s="426">
        <f t="shared" si="11"/>
        <v>0</v>
      </c>
      <c r="W18" s="426">
        <f t="shared" si="12"/>
        <v>0</v>
      </c>
      <c r="X18" s="426">
        <f t="shared" si="13"/>
        <v>0</v>
      </c>
      <c r="Y18" s="426">
        <f t="shared" si="14"/>
        <v>0</v>
      </c>
      <c r="Z18" s="426">
        <f t="shared" si="15"/>
        <v>58000000</v>
      </c>
      <c r="AA18" s="426">
        <f t="shared" si="16"/>
        <v>0</v>
      </c>
      <c r="AB18" s="426">
        <f t="shared" si="17"/>
        <v>0</v>
      </c>
      <c r="AC18" s="426">
        <f t="shared" si="18"/>
        <v>0</v>
      </c>
      <c r="AD18" s="426">
        <f t="shared" si="19"/>
        <v>0</v>
      </c>
      <c r="AE18" s="426">
        <f t="shared" si="20"/>
        <v>0</v>
      </c>
      <c r="AF18" s="426">
        <f t="shared" si="21"/>
        <v>0</v>
      </c>
      <c r="AG18" s="426">
        <f t="shared" si="22"/>
        <v>0</v>
      </c>
      <c r="AH18" s="426">
        <f t="shared" si="23"/>
        <v>0</v>
      </c>
      <c r="AI18" s="426">
        <f t="shared" si="24"/>
        <v>0</v>
      </c>
      <c r="AJ18" s="426">
        <f t="shared" si="25"/>
        <v>0</v>
      </c>
      <c r="AK18" s="426">
        <f t="shared" si="26"/>
        <v>0</v>
      </c>
      <c r="AL18" s="426">
        <f t="shared" si="27"/>
        <v>0</v>
      </c>
      <c r="AM18" s="426">
        <f t="shared" si="28"/>
        <v>0</v>
      </c>
      <c r="AN18" s="426">
        <f t="shared" si="29"/>
        <v>0</v>
      </c>
      <c r="AO18" s="426">
        <f t="shared" si="30"/>
        <v>0</v>
      </c>
      <c r="AP18" s="426">
        <f t="shared" si="31"/>
        <v>0</v>
      </c>
      <c r="AQ18" s="426">
        <f t="shared" si="32"/>
        <v>0</v>
      </c>
      <c r="AR18" s="426">
        <f t="shared" si="33"/>
        <v>0</v>
      </c>
      <c r="AS18" s="426">
        <f t="shared" si="34"/>
        <v>0</v>
      </c>
      <c r="AT18" s="426">
        <f t="shared" si="35"/>
        <v>0</v>
      </c>
      <c r="AU18" s="426">
        <f t="shared" si="36"/>
        <v>0</v>
      </c>
      <c r="AV18" s="426">
        <f t="shared" si="37"/>
        <v>0</v>
      </c>
      <c r="AW18" s="426">
        <f t="shared" si="38"/>
        <v>0</v>
      </c>
    </row>
    <row r="19" spans="1:49" s="421" customFormat="1" ht="12.75" customHeight="1">
      <c r="A19" s="73">
        <f t="array" ref="A19">IF(C19&lt;&gt;0,SUM(($C$11:C19&lt;&gt;0)*1),"")</f>
        <v>9</v>
      </c>
      <c r="B19" s="422">
        <v>41653</v>
      </c>
      <c r="C19" s="316" t="s">
        <v>338</v>
      </c>
      <c r="D19" s="316">
        <v>41653</v>
      </c>
      <c r="E19" s="423" t="s">
        <v>339</v>
      </c>
      <c r="F19" s="75">
        <v>27200000</v>
      </c>
      <c r="G19" s="425" t="s">
        <v>348</v>
      </c>
      <c r="H19" s="425" t="s">
        <v>9</v>
      </c>
      <c r="I19" s="73">
        <f t="shared" si="0"/>
        <v>9</v>
      </c>
      <c r="J19" s="426">
        <f t="shared" si="1"/>
        <v>0</v>
      </c>
      <c r="K19" s="426">
        <f t="shared" si="2"/>
        <v>0</v>
      </c>
      <c r="L19" s="426">
        <f t="shared" si="3"/>
        <v>0</v>
      </c>
      <c r="M19" s="426">
        <f t="shared" si="4"/>
        <v>0</v>
      </c>
      <c r="N19" s="426">
        <f t="shared" si="5"/>
        <v>0</v>
      </c>
      <c r="O19" s="426">
        <f t="shared" si="6"/>
        <v>0</v>
      </c>
      <c r="P19" s="426">
        <f t="shared" si="7"/>
        <v>0</v>
      </c>
      <c r="Q19" s="426">
        <f t="shared" si="8"/>
        <v>0</v>
      </c>
      <c r="R19" s="426">
        <f t="shared" si="39"/>
        <v>0</v>
      </c>
      <c r="S19" s="426">
        <f t="shared" si="40"/>
        <v>0</v>
      </c>
      <c r="T19" s="426">
        <f t="shared" si="9"/>
        <v>0</v>
      </c>
      <c r="U19" s="426">
        <f t="shared" si="10"/>
        <v>27200000</v>
      </c>
      <c r="V19" s="426">
        <f t="shared" si="11"/>
        <v>0</v>
      </c>
      <c r="W19" s="426">
        <f t="shared" si="12"/>
        <v>0</v>
      </c>
      <c r="X19" s="426">
        <f t="shared" si="13"/>
        <v>0</v>
      </c>
      <c r="Y19" s="426">
        <f t="shared" si="14"/>
        <v>0</v>
      </c>
      <c r="Z19" s="426">
        <f t="shared" si="15"/>
        <v>0</v>
      </c>
      <c r="AA19" s="426">
        <f t="shared" si="16"/>
        <v>0</v>
      </c>
      <c r="AB19" s="426">
        <f t="shared" si="17"/>
        <v>0</v>
      </c>
      <c r="AC19" s="426">
        <f t="shared" si="18"/>
        <v>0</v>
      </c>
      <c r="AD19" s="426">
        <f t="shared" si="19"/>
        <v>0</v>
      </c>
      <c r="AE19" s="426">
        <f t="shared" si="20"/>
        <v>0</v>
      </c>
      <c r="AF19" s="426">
        <f t="shared" si="21"/>
        <v>0</v>
      </c>
      <c r="AG19" s="426">
        <f t="shared" si="22"/>
        <v>0</v>
      </c>
      <c r="AH19" s="426">
        <f t="shared" si="23"/>
        <v>0</v>
      </c>
      <c r="AI19" s="426">
        <f t="shared" si="24"/>
        <v>0</v>
      </c>
      <c r="AJ19" s="426">
        <f t="shared" si="25"/>
        <v>0</v>
      </c>
      <c r="AK19" s="426">
        <f t="shared" si="26"/>
        <v>0</v>
      </c>
      <c r="AL19" s="426">
        <f t="shared" si="27"/>
        <v>0</v>
      </c>
      <c r="AM19" s="426">
        <f t="shared" si="28"/>
        <v>0</v>
      </c>
      <c r="AN19" s="426">
        <f t="shared" si="29"/>
        <v>0</v>
      </c>
      <c r="AO19" s="426">
        <f t="shared" si="30"/>
        <v>0</v>
      </c>
      <c r="AP19" s="426">
        <f t="shared" si="31"/>
        <v>0</v>
      </c>
      <c r="AQ19" s="426">
        <f t="shared" si="32"/>
        <v>0</v>
      </c>
      <c r="AR19" s="426">
        <f t="shared" si="33"/>
        <v>0</v>
      </c>
      <c r="AS19" s="426">
        <f t="shared" si="34"/>
        <v>0</v>
      </c>
      <c r="AT19" s="426">
        <f t="shared" si="35"/>
        <v>0</v>
      </c>
      <c r="AU19" s="426">
        <f t="shared" si="36"/>
        <v>0</v>
      </c>
      <c r="AV19" s="426">
        <f t="shared" si="37"/>
        <v>0</v>
      </c>
      <c r="AW19" s="426">
        <f t="shared" si="38"/>
        <v>0</v>
      </c>
    </row>
    <row r="20" spans="1:49" s="421" customFormat="1" ht="12.75" customHeight="1">
      <c r="A20" s="73">
        <f t="array" ref="A20">IF(C20&lt;&gt;0,SUM(($C$11:C20&lt;&gt;0)*1),"")</f>
        <v>10</v>
      </c>
      <c r="B20" s="422">
        <v>41653</v>
      </c>
      <c r="C20" s="316" t="s">
        <v>338</v>
      </c>
      <c r="D20" s="316">
        <v>41653</v>
      </c>
      <c r="E20" s="423" t="s">
        <v>340</v>
      </c>
      <c r="F20" s="75">
        <v>2720000</v>
      </c>
      <c r="G20" s="425" t="s">
        <v>10</v>
      </c>
      <c r="H20" s="425" t="s">
        <v>9</v>
      </c>
      <c r="I20" s="73">
        <f t="shared" si="0"/>
        <v>10</v>
      </c>
      <c r="J20" s="426">
        <f t="shared" si="1"/>
        <v>0</v>
      </c>
      <c r="K20" s="426">
        <f t="shared" si="2"/>
        <v>0</v>
      </c>
      <c r="L20" s="426">
        <f t="shared" si="3"/>
        <v>0</v>
      </c>
      <c r="M20" s="426">
        <f t="shared" si="4"/>
        <v>0</v>
      </c>
      <c r="N20" s="426">
        <f t="shared" si="5"/>
        <v>2720000</v>
      </c>
      <c r="O20" s="426">
        <f t="shared" si="6"/>
        <v>0</v>
      </c>
      <c r="P20" s="426">
        <f t="shared" si="7"/>
        <v>0</v>
      </c>
      <c r="Q20" s="426">
        <f t="shared" si="8"/>
        <v>0</v>
      </c>
      <c r="R20" s="426">
        <f t="shared" si="39"/>
        <v>0</v>
      </c>
      <c r="S20" s="426">
        <f t="shared" si="40"/>
        <v>0</v>
      </c>
      <c r="T20" s="426">
        <f t="shared" si="9"/>
        <v>0</v>
      </c>
      <c r="U20" s="426">
        <f t="shared" si="10"/>
        <v>2720000</v>
      </c>
      <c r="V20" s="426">
        <f t="shared" si="11"/>
        <v>0</v>
      </c>
      <c r="W20" s="426">
        <f t="shared" si="12"/>
        <v>0</v>
      </c>
      <c r="X20" s="426">
        <f t="shared" si="13"/>
        <v>0</v>
      </c>
      <c r="Y20" s="426">
        <f t="shared" si="14"/>
        <v>0</v>
      </c>
      <c r="Z20" s="426">
        <f t="shared" si="15"/>
        <v>0</v>
      </c>
      <c r="AA20" s="426">
        <f t="shared" si="16"/>
        <v>0</v>
      </c>
      <c r="AB20" s="426">
        <f t="shared" si="17"/>
        <v>0</v>
      </c>
      <c r="AC20" s="426">
        <f t="shared" si="18"/>
        <v>0</v>
      </c>
      <c r="AD20" s="426">
        <f t="shared" si="19"/>
        <v>0</v>
      </c>
      <c r="AE20" s="426">
        <f t="shared" si="20"/>
        <v>0</v>
      </c>
      <c r="AF20" s="426">
        <f t="shared" si="21"/>
        <v>0</v>
      </c>
      <c r="AG20" s="426">
        <f t="shared" si="22"/>
        <v>0</v>
      </c>
      <c r="AH20" s="426">
        <f t="shared" si="23"/>
        <v>0</v>
      </c>
      <c r="AI20" s="426">
        <f t="shared" si="24"/>
        <v>0</v>
      </c>
      <c r="AJ20" s="426">
        <f t="shared" si="25"/>
        <v>0</v>
      </c>
      <c r="AK20" s="426">
        <f t="shared" si="26"/>
        <v>0</v>
      </c>
      <c r="AL20" s="426">
        <f t="shared" si="27"/>
        <v>0</v>
      </c>
      <c r="AM20" s="426">
        <f t="shared" si="28"/>
        <v>0</v>
      </c>
      <c r="AN20" s="426">
        <f t="shared" si="29"/>
        <v>0</v>
      </c>
      <c r="AO20" s="426">
        <f t="shared" si="30"/>
        <v>0</v>
      </c>
      <c r="AP20" s="426">
        <f t="shared" si="31"/>
        <v>0</v>
      </c>
      <c r="AQ20" s="426">
        <f t="shared" si="32"/>
        <v>0</v>
      </c>
      <c r="AR20" s="426">
        <f t="shared" si="33"/>
        <v>0</v>
      </c>
      <c r="AS20" s="426">
        <f t="shared" si="34"/>
        <v>0</v>
      </c>
      <c r="AT20" s="426">
        <f t="shared" si="35"/>
        <v>0</v>
      </c>
      <c r="AU20" s="426">
        <f t="shared" si="36"/>
        <v>0</v>
      </c>
      <c r="AV20" s="426">
        <f t="shared" si="37"/>
        <v>0</v>
      </c>
      <c r="AW20" s="426">
        <f t="shared" si="38"/>
        <v>0</v>
      </c>
    </row>
    <row r="21" spans="1:49" s="421" customFormat="1" ht="12.75" customHeight="1">
      <c r="A21" s="73">
        <f t="array" ref="A21">IF(C21&lt;&gt;0,SUM(($C$11:C21&lt;&gt;0)*1),"")</f>
        <v>11</v>
      </c>
      <c r="B21" s="422">
        <v>41660</v>
      </c>
      <c r="C21" s="316" t="s">
        <v>11</v>
      </c>
      <c r="D21" s="316">
        <v>41660</v>
      </c>
      <c r="E21" s="423" t="s">
        <v>333</v>
      </c>
      <c r="F21" s="75">
        <v>1500000</v>
      </c>
      <c r="G21" s="425" t="s">
        <v>34</v>
      </c>
      <c r="H21" s="425" t="s">
        <v>23</v>
      </c>
      <c r="I21" s="73">
        <f t="shared" si="0"/>
        <v>11</v>
      </c>
      <c r="J21" s="426">
        <f t="shared" si="1"/>
        <v>0</v>
      </c>
      <c r="K21" s="426">
        <f t="shared" si="2"/>
        <v>0</v>
      </c>
      <c r="L21" s="426">
        <f t="shared" si="3"/>
        <v>1500000</v>
      </c>
      <c r="M21" s="426">
        <f t="shared" si="4"/>
        <v>0</v>
      </c>
      <c r="N21" s="426">
        <f t="shared" si="5"/>
        <v>0</v>
      </c>
      <c r="O21" s="426">
        <f t="shared" si="6"/>
        <v>0</v>
      </c>
      <c r="P21" s="426">
        <f t="shared" si="7"/>
        <v>0</v>
      </c>
      <c r="Q21" s="426">
        <f t="shared" si="8"/>
        <v>0</v>
      </c>
      <c r="R21" s="426">
        <f t="shared" si="39"/>
        <v>0</v>
      </c>
      <c r="S21" s="426">
        <f t="shared" si="40"/>
        <v>0</v>
      </c>
      <c r="T21" s="426">
        <f t="shared" si="9"/>
        <v>0</v>
      </c>
      <c r="U21" s="426">
        <f t="shared" si="10"/>
        <v>0</v>
      </c>
      <c r="V21" s="426">
        <f t="shared" si="11"/>
        <v>0</v>
      </c>
      <c r="W21" s="426">
        <f t="shared" si="12"/>
        <v>0</v>
      </c>
      <c r="X21" s="426">
        <f t="shared" si="13"/>
        <v>0</v>
      </c>
      <c r="Y21" s="426">
        <f t="shared" si="14"/>
        <v>0</v>
      </c>
      <c r="Z21" s="426">
        <f t="shared" si="15"/>
        <v>0</v>
      </c>
      <c r="AA21" s="426">
        <f t="shared" si="16"/>
        <v>1500000</v>
      </c>
      <c r="AB21" s="426">
        <f t="shared" si="17"/>
        <v>0</v>
      </c>
      <c r="AC21" s="426">
        <f t="shared" si="18"/>
        <v>0</v>
      </c>
      <c r="AD21" s="426">
        <f t="shared" si="19"/>
        <v>0</v>
      </c>
      <c r="AE21" s="426">
        <f t="shared" si="20"/>
        <v>0</v>
      </c>
      <c r="AF21" s="426">
        <f t="shared" si="21"/>
        <v>0</v>
      </c>
      <c r="AG21" s="426">
        <f t="shared" si="22"/>
        <v>0</v>
      </c>
      <c r="AH21" s="426">
        <f t="shared" si="23"/>
        <v>0</v>
      </c>
      <c r="AI21" s="426">
        <f t="shared" si="24"/>
        <v>0</v>
      </c>
      <c r="AJ21" s="426">
        <f t="shared" si="25"/>
        <v>0</v>
      </c>
      <c r="AK21" s="426">
        <f t="shared" si="26"/>
        <v>0</v>
      </c>
      <c r="AL21" s="426">
        <f t="shared" si="27"/>
        <v>0</v>
      </c>
      <c r="AM21" s="426">
        <f t="shared" si="28"/>
        <v>0</v>
      </c>
      <c r="AN21" s="426">
        <f t="shared" si="29"/>
        <v>0</v>
      </c>
      <c r="AO21" s="426">
        <f t="shared" si="30"/>
        <v>0</v>
      </c>
      <c r="AP21" s="426">
        <f t="shared" si="31"/>
        <v>0</v>
      </c>
      <c r="AQ21" s="426">
        <f t="shared" si="32"/>
        <v>0</v>
      </c>
      <c r="AR21" s="426">
        <f t="shared" si="33"/>
        <v>0</v>
      </c>
      <c r="AS21" s="426">
        <f t="shared" si="34"/>
        <v>0</v>
      </c>
      <c r="AT21" s="426">
        <f t="shared" si="35"/>
        <v>0</v>
      </c>
      <c r="AU21" s="426">
        <f t="shared" si="36"/>
        <v>0</v>
      </c>
      <c r="AV21" s="426">
        <f t="shared" si="37"/>
        <v>0</v>
      </c>
      <c r="AW21" s="426">
        <f t="shared" si="38"/>
        <v>0</v>
      </c>
    </row>
    <row r="22" spans="1:49" s="421" customFormat="1" ht="12.75" customHeight="1">
      <c r="A22" s="73">
        <f t="array" ref="A22">IF(C22&lt;&gt;0,SUM(($C$11:C22&lt;&gt;0)*1),"")</f>
        <v>12</v>
      </c>
      <c r="B22" s="422">
        <v>41660</v>
      </c>
      <c r="C22" s="316" t="s">
        <v>8</v>
      </c>
      <c r="D22" s="316">
        <v>41660</v>
      </c>
      <c r="E22" s="423" t="s">
        <v>341</v>
      </c>
      <c r="F22" s="75">
        <v>1500000</v>
      </c>
      <c r="G22" s="425" t="s">
        <v>24</v>
      </c>
      <c r="H22" s="425" t="s">
        <v>34</v>
      </c>
      <c r="I22" s="73">
        <f t="shared" si="0"/>
        <v>12</v>
      </c>
      <c r="J22" s="426">
        <f t="shared" si="1"/>
        <v>0</v>
      </c>
      <c r="K22" s="426">
        <f t="shared" si="2"/>
        <v>0</v>
      </c>
      <c r="L22" s="426">
        <f t="shared" si="3"/>
        <v>0</v>
      </c>
      <c r="M22" s="426">
        <f t="shared" si="4"/>
        <v>1500000</v>
      </c>
      <c r="N22" s="426">
        <f t="shared" si="5"/>
        <v>0</v>
      </c>
      <c r="O22" s="426">
        <f t="shared" si="6"/>
        <v>0</v>
      </c>
      <c r="P22" s="426">
        <f t="shared" si="7"/>
        <v>0</v>
      </c>
      <c r="Q22" s="426">
        <f t="shared" si="8"/>
        <v>0</v>
      </c>
      <c r="R22" s="426">
        <f t="shared" si="39"/>
        <v>0</v>
      </c>
      <c r="S22" s="426">
        <f t="shared" si="40"/>
        <v>0</v>
      </c>
      <c r="T22" s="426">
        <f t="shared" si="9"/>
        <v>0</v>
      </c>
      <c r="U22" s="426">
        <f t="shared" si="10"/>
        <v>0</v>
      </c>
      <c r="V22" s="426">
        <f t="shared" si="11"/>
        <v>0</v>
      </c>
      <c r="W22" s="426">
        <f t="shared" si="12"/>
        <v>0</v>
      </c>
      <c r="X22" s="426">
        <f t="shared" si="13"/>
        <v>0</v>
      </c>
      <c r="Y22" s="426">
        <f t="shared" si="14"/>
        <v>0</v>
      </c>
      <c r="Z22" s="426">
        <f t="shared" si="15"/>
        <v>0</v>
      </c>
      <c r="AA22" s="426">
        <f t="shared" si="16"/>
        <v>0</v>
      </c>
      <c r="AB22" s="426">
        <f t="shared" si="17"/>
        <v>0</v>
      </c>
      <c r="AC22" s="426">
        <f t="shared" si="18"/>
        <v>0</v>
      </c>
      <c r="AD22" s="426">
        <f t="shared" si="19"/>
        <v>0</v>
      </c>
      <c r="AE22" s="426">
        <f t="shared" si="20"/>
        <v>0</v>
      </c>
      <c r="AF22" s="426">
        <f t="shared" si="21"/>
        <v>0</v>
      </c>
      <c r="AG22" s="426">
        <f t="shared" si="22"/>
        <v>0</v>
      </c>
      <c r="AH22" s="426">
        <f t="shared" si="23"/>
        <v>0</v>
      </c>
      <c r="AI22" s="426">
        <f t="shared" si="24"/>
        <v>0</v>
      </c>
      <c r="AJ22" s="426">
        <f t="shared" si="25"/>
        <v>0</v>
      </c>
      <c r="AK22" s="426">
        <f t="shared" si="26"/>
        <v>0</v>
      </c>
      <c r="AL22" s="426">
        <f t="shared" si="27"/>
        <v>0</v>
      </c>
      <c r="AM22" s="426">
        <f t="shared" si="28"/>
        <v>0</v>
      </c>
      <c r="AN22" s="426">
        <f t="shared" si="29"/>
        <v>0</v>
      </c>
      <c r="AO22" s="426">
        <f t="shared" si="30"/>
        <v>0</v>
      </c>
      <c r="AP22" s="426">
        <f t="shared" si="31"/>
        <v>0</v>
      </c>
      <c r="AQ22" s="426">
        <f t="shared" si="32"/>
        <v>0</v>
      </c>
      <c r="AR22" s="426">
        <f t="shared" si="33"/>
        <v>0</v>
      </c>
      <c r="AS22" s="426">
        <f t="shared" si="34"/>
        <v>0</v>
      </c>
      <c r="AT22" s="426">
        <f t="shared" si="35"/>
        <v>0</v>
      </c>
      <c r="AU22" s="426">
        <f t="shared" si="36"/>
        <v>0</v>
      </c>
      <c r="AV22" s="426">
        <f t="shared" si="37"/>
        <v>0</v>
      </c>
      <c r="AW22" s="426">
        <f t="shared" si="38"/>
        <v>0</v>
      </c>
    </row>
    <row r="23" spans="1:49" s="421" customFormat="1" ht="12.75" customHeight="1">
      <c r="A23" s="73">
        <f t="array" ref="A23">IF(C23&lt;&gt;0,SUM(($C$11:C23&lt;&gt;0)*1),"")</f>
        <v>13</v>
      </c>
      <c r="B23" s="422">
        <v>41660</v>
      </c>
      <c r="C23" s="316" t="s">
        <v>8</v>
      </c>
      <c r="D23" s="316">
        <v>41660</v>
      </c>
      <c r="E23" s="423" t="s">
        <v>21</v>
      </c>
      <c r="F23" s="75">
        <v>20000</v>
      </c>
      <c r="G23" s="425" t="s">
        <v>348</v>
      </c>
      <c r="H23" s="425" t="s">
        <v>34</v>
      </c>
      <c r="I23" s="73">
        <f t="shared" si="0"/>
        <v>13</v>
      </c>
      <c r="J23" s="426">
        <f t="shared" si="1"/>
        <v>0</v>
      </c>
      <c r="K23" s="426">
        <f t="shared" si="2"/>
        <v>0</v>
      </c>
      <c r="L23" s="426">
        <f t="shared" si="3"/>
        <v>0</v>
      </c>
      <c r="M23" s="426">
        <f t="shared" si="4"/>
        <v>20000</v>
      </c>
      <c r="N23" s="426">
        <f t="shared" si="5"/>
        <v>0</v>
      </c>
      <c r="O23" s="426">
        <f t="shared" si="6"/>
        <v>0</v>
      </c>
      <c r="P23" s="426">
        <f t="shared" si="7"/>
        <v>0</v>
      </c>
      <c r="Q23" s="426">
        <f t="shared" si="8"/>
        <v>0</v>
      </c>
      <c r="R23" s="426">
        <f t="shared" si="39"/>
        <v>0</v>
      </c>
      <c r="S23" s="426">
        <f t="shared" si="40"/>
        <v>0</v>
      </c>
      <c r="T23" s="426">
        <f t="shared" si="9"/>
        <v>0</v>
      </c>
      <c r="U23" s="426">
        <f t="shared" si="10"/>
        <v>0</v>
      </c>
      <c r="V23" s="426">
        <f t="shared" si="11"/>
        <v>0</v>
      </c>
      <c r="W23" s="426">
        <f t="shared" si="12"/>
        <v>0</v>
      </c>
      <c r="X23" s="426">
        <f t="shared" si="13"/>
        <v>0</v>
      </c>
      <c r="Y23" s="426">
        <f t="shared" si="14"/>
        <v>0</v>
      </c>
      <c r="Z23" s="426">
        <f t="shared" si="15"/>
        <v>0</v>
      </c>
      <c r="AA23" s="426">
        <f t="shared" si="16"/>
        <v>0</v>
      </c>
      <c r="AB23" s="426">
        <f t="shared" si="17"/>
        <v>0</v>
      </c>
      <c r="AC23" s="426">
        <f t="shared" si="18"/>
        <v>0</v>
      </c>
      <c r="AD23" s="426">
        <f t="shared" si="19"/>
        <v>0</v>
      </c>
      <c r="AE23" s="426">
        <f t="shared" si="20"/>
        <v>0</v>
      </c>
      <c r="AF23" s="426">
        <f t="shared" si="21"/>
        <v>0</v>
      </c>
      <c r="AG23" s="426">
        <f t="shared" si="22"/>
        <v>0</v>
      </c>
      <c r="AH23" s="426">
        <f t="shared" si="23"/>
        <v>0</v>
      </c>
      <c r="AI23" s="426">
        <f t="shared" si="24"/>
        <v>0</v>
      </c>
      <c r="AJ23" s="426">
        <f t="shared" si="25"/>
        <v>0</v>
      </c>
      <c r="AK23" s="426">
        <f t="shared" si="26"/>
        <v>0</v>
      </c>
      <c r="AL23" s="426">
        <f t="shared" si="27"/>
        <v>0</v>
      </c>
      <c r="AM23" s="426">
        <f t="shared" si="28"/>
        <v>0</v>
      </c>
      <c r="AN23" s="426">
        <f t="shared" si="29"/>
        <v>0</v>
      </c>
      <c r="AO23" s="426">
        <f t="shared" si="30"/>
        <v>0</v>
      </c>
      <c r="AP23" s="426">
        <f t="shared" si="31"/>
        <v>0</v>
      </c>
      <c r="AQ23" s="426">
        <f t="shared" si="32"/>
        <v>0</v>
      </c>
      <c r="AR23" s="426">
        <f t="shared" si="33"/>
        <v>0</v>
      </c>
      <c r="AS23" s="426">
        <f t="shared" si="34"/>
        <v>0</v>
      </c>
      <c r="AT23" s="426">
        <f t="shared" si="35"/>
        <v>0</v>
      </c>
      <c r="AU23" s="426">
        <f t="shared" si="36"/>
        <v>0</v>
      </c>
      <c r="AV23" s="426">
        <f t="shared" si="37"/>
        <v>0</v>
      </c>
      <c r="AW23" s="426">
        <f t="shared" si="38"/>
        <v>0</v>
      </c>
    </row>
    <row r="24" spans="1:49" s="421" customFormat="1" ht="12.75" customHeight="1">
      <c r="A24" s="73">
        <f t="array" ref="A24">IF(C24&lt;&gt;0,SUM(($C$11:C24&lt;&gt;0)*1),"")</f>
        <v>14</v>
      </c>
      <c r="B24" s="422">
        <v>41660</v>
      </c>
      <c r="C24" s="316" t="s">
        <v>8</v>
      </c>
      <c r="D24" s="316">
        <v>41660</v>
      </c>
      <c r="E24" s="423" t="s">
        <v>335</v>
      </c>
      <c r="F24" s="75">
        <v>2000</v>
      </c>
      <c r="G24" s="425" t="s">
        <v>10</v>
      </c>
      <c r="H24" s="425" t="s">
        <v>34</v>
      </c>
      <c r="I24" s="73">
        <f t="shared" si="0"/>
        <v>14</v>
      </c>
      <c r="J24" s="426">
        <f t="shared" si="1"/>
        <v>0</v>
      </c>
      <c r="K24" s="426">
        <f t="shared" si="2"/>
        <v>0</v>
      </c>
      <c r="L24" s="426">
        <f t="shared" si="3"/>
        <v>0</v>
      </c>
      <c r="M24" s="426">
        <f t="shared" si="4"/>
        <v>2000</v>
      </c>
      <c r="N24" s="426">
        <f t="shared" si="5"/>
        <v>2000</v>
      </c>
      <c r="O24" s="426">
        <f t="shared" si="6"/>
        <v>0</v>
      </c>
      <c r="P24" s="426">
        <f t="shared" si="7"/>
        <v>0</v>
      </c>
      <c r="Q24" s="426">
        <f t="shared" si="8"/>
        <v>0</v>
      </c>
      <c r="R24" s="426">
        <f t="shared" si="39"/>
        <v>0</v>
      </c>
      <c r="S24" s="426">
        <f t="shared" si="40"/>
        <v>0</v>
      </c>
      <c r="T24" s="426">
        <f t="shared" si="9"/>
        <v>0</v>
      </c>
      <c r="U24" s="426">
        <f t="shared" si="10"/>
        <v>0</v>
      </c>
      <c r="V24" s="426">
        <f t="shared" si="11"/>
        <v>0</v>
      </c>
      <c r="W24" s="426">
        <f t="shared" si="12"/>
        <v>0</v>
      </c>
      <c r="X24" s="426">
        <f t="shared" si="13"/>
        <v>0</v>
      </c>
      <c r="Y24" s="426">
        <f t="shared" si="14"/>
        <v>0</v>
      </c>
      <c r="Z24" s="426">
        <f t="shared" si="15"/>
        <v>0</v>
      </c>
      <c r="AA24" s="426">
        <f t="shared" si="16"/>
        <v>0</v>
      </c>
      <c r="AB24" s="426">
        <f t="shared" si="17"/>
        <v>0</v>
      </c>
      <c r="AC24" s="426">
        <f t="shared" si="18"/>
        <v>0</v>
      </c>
      <c r="AD24" s="426">
        <f t="shared" si="19"/>
        <v>0</v>
      </c>
      <c r="AE24" s="426">
        <f t="shared" si="20"/>
        <v>0</v>
      </c>
      <c r="AF24" s="426">
        <f t="shared" si="21"/>
        <v>0</v>
      </c>
      <c r="AG24" s="426">
        <f t="shared" si="22"/>
        <v>0</v>
      </c>
      <c r="AH24" s="426">
        <f t="shared" si="23"/>
        <v>0</v>
      </c>
      <c r="AI24" s="426">
        <f t="shared" si="24"/>
        <v>0</v>
      </c>
      <c r="AJ24" s="426">
        <f t="shared" si="25"/>
        <v>0</v>
      </c>
      <c r="AK24" s="426">
        <f t="shared" si="26"/>
        <v>0</v>
      </c>
      <c r="AL24" s="426">
        <f t="shared" si="27"/>
        <v>0</v>
      </c>
      <c r="AM24" s="426">
        <f t="shared" si="28"/>
        <v>0</v>
      </c>
      <c r="AN24" s="426">
        <f t="shared" si="29"/>
        <v>0</v>
      </c>
      <c r="AO24" s="426">
        <f t="shared" si="30"/>
        <v>0</v>
      </c>
      <c r="AP24" s="426">
        <f t="shared" si="31"/>
        <v>0</v>
      </c>
      <c r="AQ24" s="426">
        <f t="shared" si="32"/>
        <v>0</v>
      </c>
      <c r="AR24" s="426">
        <f t="shared" si="33"/>
        <v>0</v>
      </c>
      <c r="AS24" s="426">
        <f t="shared" si="34"/>
        <v>0</v>
      </c>
      <c r="AT24" s="426">
        <f t="shared" si="35"/>
        <v>0</v>
      </c>
      <c r="AU24" s="426">
        <f t="shared" si="36"/>
        <v>0</v>
      </c>
      <c r="AV24" s="426">
        <f t="shared" si="37"/>
        <v>0</v>
      </c>
      <c r="AW24" s="426">
        <f t="shared" si="38"/>
        <v>0</v>
      </c>
    </row>
    <row r="25" spans="1:49" s="421" customFormat="1" ht="12.75" customHeight="1">
      <c r="A25" s="73">
        <f t="array" ref="A25">IF(C25&lt;&gt;0,SUM(($C$11:C25&lt;&gt;0)*1),"")</f>
        <v>15</v>
      </c>
      <c r="B25" s="422">
        <v>41660</v>
      </c>
      <c r="C25" s="316" t="s">
        <v>60</v>
      </c>
      <c r="D25" s="316">
        <v>41660</v>
      </c>
      <c r="E25" s="423" t="s">
        <v>337</v>
      </c>
      <c r="F25" s="75">
        <v>1500000</v>
      </c>
      <c r="G25" s="425" t="s">
        <v>23</v>
      </c>
      <c r="H25" s="425" t="s">
        <v>120</v>
      </c>
      <c r="I25" s="73">
        <f t="shared" si="0"/>
        <v>15</v>
      </c>
      <c r="J25" s="426">
        <f t="shared" si="1"/>
        <v>0</v>
      </c>
      <c r="K25" s="426">
        <f t="shared" si="2"/>
        <v>1500000</v>
      </c>
      <c r="L25" s="426">
        <f t="shared" si="3"/>
        <v>0</v>
      </c>
      <c r="M25" s="426">
        <f t="shared" si="4"/>
        <v>0</v>
      </c>
      <c r="N25" s="426">
        <f t="shared" si="5"/>
        <v>0</v>
      </c>
      <c r="O25" s="426">
        <f t="shared" si="6"/>
        <v>0</v>
      </c>
      <c r="P25" s="426">
        <f t="shared" si="7"/>
        <v>0</v>
      </c>
      <c r="Q25" s="426">
        <f t="shared" si="8"/>
        <v>0</v>
      </c>
      <c r="R25" s="426">
        <f t="shared" si="39"/>
        <v>0</v>
      </c>
      <c r="S25" s="426">
        <f t="shared" si="40"/>
        <v>0</v>
      </c>
      <c r="T25" s="426">
        <f t="shared" si="9"/>
        <v>0</v>
      </c>
      <c r="U25" s="426">
        <f t="shared" si="10"/>
        <v>0</v>
      </c>
      <c r="V25" s="426">
        <f t="shared" si="11"/>
        <v>0</v>
      </c>
      <c r="W25" s="426">
        <f t="shared" si="12"/>
        <v>0</v>
      </c>
      <c r="X25" s="426">
        <f t="shared" si="13"/>
        <v>0</v>
      </c>
      <c r="Y25" s="426">
        <f t="shared" si="14"/>
        <v>0</v>
      </c>
      <c r="Z25" s="426">
        <f t="shared" si="15"/>
        <v>1500000</v>
      </c>
      <c r="AA25" s="426">
        <f t="shared" si="16"/>
        <v>0</v>
      </c>
      <c r="AB25" s="426">
        <f t="shared" si="17"/>
        <v>0</v>
      </c>
      <c r="AC25" s="426">
        <f t="shared" si="18"/>
        <v>0</v>
      </c>
      <c r="AD25" s="426">
        <f t="shared" si="19"/>
        <v>0</v>
      </c>
      <c r="AE25" s="426">
        <f t="shared" si="20"/>
        <v>0</v>
      </c>
      <c r="AF25" s="426">
        <f t="shared" si="21"/>
        <v>0</v>
      </c>
      <c r="AG25" s="426">
        <f t="shared" si="22"/>
        <v>0</v>
      </c>
      <c r="AH25" s="426">
        <f t="shared" si="23"/>
        <v>0</v>
      </c>
      <c r="AI25" s="426">
        <f t="shared" si="24"/>
        <v>0</v>
      </c>
      <c r="AJ25" s="426">
        <f t="shared" si="25"/>
        <v>0</v>
      </c>
      <c r="AK25" s="426">
        <f t="shared" si="26"/>
        <v>0</v>
      </c>
      <c r="AL25" s="426">
        <f t="shared" si="27"/>
        <v>0</v>
      </c>
      <c r="AM25" s="426">
        <f t="shared" si="28"/>
        <v>0</v>
      </c>
      <c r="AN25" s="426">
        <f t="shared" si="29"/>
        <v>0</v>
      </c>
      <c r="AO25" s="426">
        <f t="shared" si="30"/>
        <v>0</v>
      </c>
      <c r="AP25" s="426">
        <f t="shared" si="31"/>
        <v>0</v>
      </c>
      <c r="AQ25" s="426">
        <f t="shared" si="32"/>
        <v>0</v>
      </c>
      <c r="AR25" s="426">
        <f t="shared" si="33"/>
        <v>0</v>
      </c>
      <c r="AS25" s="426">
        <f t="shared" si="34"/>
        <v>0</v>
      </c>
      <c r="AT25" s="426">
        <f t="shared" si="35"/>
        <v>0</v>
      </c>
      <c r="AU25" s="426">
        <f t="shared" si="36"/>
        <v>0</v>
      </c>
      <c r="AV25" s="426">
        <f t="shared" si="37"/>
        <v>0</v>
      </c>
      <c r="AW25" s="426">
        <f t="shared" si="38"/>
        <v>0</v>
      </c>
    </row>
    <row r="26" spans="1:49" s="421" customFormat="1" ht="12.75" customHeight="1">
      <c r="A26" s="73">
        <f t="array" ref="A26">IF(C26&lt;&gt;0,SUM(($C$11:C26&lt;&gt;0)*1),"")</f>
        <v>16</v>
      </c>
      <c r="B26" s="422">
        <v>41664</v>
      </c>
      <c r="C26" s="316" t="s">
        <v>61</v>
      </c>
      <c r="D26" s="316">
        <v>41664</v>
      </c>
      <c r="E26" s="423" t="s">
        <v>342</v>
      </c>
      <c r="F26" s="75">
        <v>64000000</v>
      </c>
      <c r="G26" s="425" t="s">
        <v>34</v>
      </c>
      <c r="H26" s="425" t="s">
        <v>120</v>
      </c>
      <c r="I26" s="73">
        <f t="shared" si="0"/>
        <v>16</v>
      </c>
      <c r="J26" s="426">
        <f t="shared" si="1"/>
        <v>0</v>
      </c>
      <c r="K26" s="426">
        <f t="shared" si="2"/>
        <v>64000000</v>
      </c>
      <c r="L26" s="426">
        <f t="shared" si="3"/>
        <v>64000000</v>
      </c>
      <c r="M26" s="426">
        <f t="shared" si="4"/>
        <v>0</v>
      </c>
      <c r="N26" s="426">
        <f t="shared" si="5"/>
        <v>0</v>
      </c>
      <c r="O26" s="426">
        <f t="shared" si="6"/>
        <v>0</v>
      </c>
      <c r="P26" s="426">
        <f t="shared" si="7"/>
        <v>0</v>
      </c>
      <c r="Q26" s="426">
        <f t="shared" si="8"/>
        <v>0</v>
      </c>
      <c r="R26" s="426">
        <f t="shared" si="39"/>
        <v>0</v>
      </c>
      <c r="S26" s="426">
        <f t="shared" si="40"/>
        <v>0</v>
      </c>
      <c r="T26" s="426">
        <f t="shared" si="9"/>
        <v>0</v>
      </c>
      <c r="U26" s="426">
        <f t="shared" si="10"/>
        <v>0</v>
      </c>
      <c r="V26" s="426">
        <f t="shared" si="11"/>
        <v>0</v>
      </c>
      <c r="W26" s="426">
        <f t="shared" si="12"/>
        <v>0</v>
      </c>
      <c r="X26" s="426">
        <f t="shared" si="13"/>
        <v>0</v>
      </c>
      <c r="Y26" s="426">
        <f t="shared" si="14"/>
        <v>0</v>
      </c>
      <c r="Z26" s="426">
        <f t="shared" si="15"/>
        <v>0</v>
      </c>
      <c r="AA26" s="426">
        <f t="shared" si="16"/>
        <v>0</v>
      </c>
      <c r="AB26" s="426">
        <f t="shared" si="17"/>
        <v>0</v>
      </c>
      <c r="AC26" s="426">
        <f t="shared" si="18"/>
        <v>0</v>
      </c>
      <c r="AD26" s="426">
        <f t="shared" si="19"/>
        <v>0</v>
      </c>
      <c r="AE26" s="426">
        <f t="shared" si="20"/>
        <v>0</v>
      </c>
      <c r="AF26" s="426">
        <f t="shared" si="21"/>
        <v>0</v>
      </c>
      <c r="AG26" s="426">
        <f t="shared" si="22"/>
        <v>0</v>
      </c>
      <c r="AH26" s="426">
        <f t="shared" si="23"/>
        <v>0</v>
      </c>
      <c r="AI26" s="426">
        <f t="shared" si="24"/>
        <v>0</v>
      </c>
      <c r="AJ26" s="426">
        <f t="shared" si="25"/>
        <v>0</v>
      </c>
      <c r="AK26" s="426">
        <f t="shared" si="26"/>
        <v>0</v>
      </c>
      <c r="AL26" s="426">
        <f t="shared" si="27"/>
        <v>0</v>
      </c>
      <c r="AM26" s="426">
        <f t="shared" si="28"/>
        <v>0</v>
      </c>
      <c r="AN26" s="426">
        <f t="shared" si="29"/>
        <v>0</v>
      </c>
      <c r="AO26" s="426">
        <f t="shared" si="30"/>
        <v>0</v>
      </c>
      <c r="AP26" s="426">
        <f t="shared" si="31"/>
        <v>0</v>
      </c>
      <c r="AQ26" s="426">
        <f t="shared" si="32"/>
        <v>0</v>
      </c>
      <c r="AR26" s="426">
        <f t="shared" si="33"/>
        <v>0</v>
      </c>
      <c r="AS26" s="426">
        <f t="shared" si="34"/>
        <v>0</v>
      </c>
      <c r="AT26" s="426">
        <f t="shared" si="35"/>
        <v>0</v>
      </c>
      <c r="AU26" s="426">
        <f t="shared" si="36"/>
        <v>0</v>
      </c>
      <c r="AV26" s="426">
        <f t="shared" si="37"/>
        <v>0</v>
      </c>
      <c r="AW26" s="426">
        <f t="shared" si="38"/>
        <v>0</v>
      </c>
    </row>
    <row r="27" spans="1:49" s="421" customFormat="1" ht="12.75" customHeight="1">
      <c r="A27" s="73">
        <f t="array" ref="A27">IF(C27&lt;&gt;0,SUM(($C$11:C27&lt;&gt;0)*1),"")</f>
        <v>17</v>
      </c>
      <c r="B27" s="422">
        <v>41664</v>
      </c>
      <c r="C27" s="316" t="s">
        <v>8</v>
      </c>
      <c r="D27" s="316">
        <v>41664</v>
      </c>
      <c r="E27" s="423" t="s">
        <v>343</v>
      </c>
      <c r="F27" s="75">
        <v>20000000</v>
      </c>
      <c r="G27" s="425" t="s">
        <v>9</v>
      </c>
      <c r="H27" s="425" t="s">
        <v>34</v>
      </c>
      <c r="I27" s="73">
        <f t="shared" si="0"/>
        <v>17</v>
      </c>
      <c r="J27" s="426">
        <f t="shared" si="1"/>
        <v>0</v>
      </c>
      <c r="K27" s="426">
        <f t="shared" si="2"/>
        <v>0</v>
      </c>
      <c r="L27" s="426">
        <f t="shared" si="3"/>
        <v>0</v>
      </c>
      <c r="M27" s="426">
        <f t="shared" si="4"/>
        <v>20000000</v>
      </c>
      <c r="N27" s="426">
        <f t="shared" si="5"/>
        <v>0</v>
      </c>
      <c r="O27" s="426">
        <f t="shared" si="6"/>
        <v>0</v>
      </c>
      <c r="P27" s="426">
        <f t="shared" si="7"/>
        <v>0</v>
      </c>
      <c r="Q27" s="426">
        <f t="shared" si="8"/>
        <v>0</v>
      </c>
      <c r="R27" s="426">
        <f t="shared" si="39"/>
        <v>0</v>
      </c>
      <c r="S27" s="426">
        <f t="shared" si="40"/>
        <v>0</v>
      </c>
      <c r="T27" s="426">
        <f t="shared" si="9"/>
        <v>20000000</v>
      </c>
      <c r="U27" s="426">
        <f t="shared" si="10"/>
        <v>0</v>
      </c>
      <c r="V27" s="426">
        <f t="shared" si="11"/>
        <v>0</v>
      </c>
      <c r="W27" s="426">
        <f t="shared" si="12"/>
        <v>0</v>
      </c>
      <c r="X27" s="426">
        <f t="shared" si="13"/>
        <v>0</v>
      </c>
      <c r="Y27" s="426">
        <f t="shared" si="14"/>
        <v>0</v>
      </c>
      <c r="Z27" s="426">
        <f t="shared" si="15"/>
        <v>0</v>
      </c>
      <c r="AA27" s="426">
        <f t="shared" si="16"/>
        <v>0</v>
      </c>
      <c r="AB27" s="426">
        <f t="shared" si="17"/>
        <v>0</v>
      </c>
      <c r="AC27" s="426">
        <f t="shared" si="18"/>
        <v>0</v>
      </c>
      <c r="AD27" s="426">
        <f t="shared" si="19"/>
        <v>0</v>
      </c>
      <c r="AE27" s="426">
        <f t="shared" si="20"/>
        <v>0</v>
      </c>
      <c r="AF27" s="426">
        <f t="shared" si="21"/>
        <v>0</v>
      </c>
      <c r="AG27" s="426">
        <f t="shared" si="22"/>
        <v>0</v>
      </c>
      <c r="AH27" s="426">
        <f t="shared" si="23"/>
        <v>0</v>
      </c>
      <c r="AI27" s="426">
        <f t="shared" si="24"/>
        <v>0</v>
      </c>
      <c r="AJ27" s="426">
        <f t="shared" si="25"/>
        <v>0</v>
      </c>
      <c r="AK27" s="426">
        <f t="shared" si="26"/>
        <v>0</v>
      </c>
      <c r="AL27" s="426">
        <f t="shared" si="27"/>
        <v>0</v>
      </c>
      <c r="AM27" s="426">
        <f t="shared" si="28"/>
        <v>0</v>
      </c>
      <c r="AN27" s="426">
        <f t="shared" si="29"/>
        <v>0</v>
      </c>
      <c r="AO27" s="426">
        <f t="shared" si="30"/>
        <v>0</v>
      </c>
      <c r="AP27" s="426">
        <f t="shared" si="31"/>
        <v>0</v>
      </c>
      <c r="AQ27" s="426">
        <f t="shared" si="32"/>
        <v>0</v>
      </c>
      <c r="AR27" s="426">
        <f t="shared" si="33"/>
        <v>0</v>
      </c>
      <c r="AS27" s="426">
        <f t="shared" si="34"/>
        <v>0</v>
      </c>
      <c r="AT27" s="426">
        <f t="shared" si="35"/>
        <v>0</v>
      </c>
      <c r="AU27" s="426">
        <f t="shared" si="36"/>
        <v>0</v>
      </c>
      <c r="AV27" s="426">
        <f t="shared" si="37"/>
        <v>0</v>
      </c>
      <c r="AW27" s="426">
        <f t="shared" si="38"/>
        <v>0</v>
      </c>
    </row>
    <row r="28" spans="1:49" s="421" customFormat="1" ht="12.75" customHeight="1">
      <c r="A28" s="73">
        <f t="array" ref="A28">IF(C28&lt;&gt;0,SUM(($C$11:C28&lt;&gt;0)*1),"")</f>
        <v>18</v>
      </c>
      <c r="B28" s="422">
        <v>41664</v>
      </c>
      <c r="C28" s="316" t="s">
        <v>8</v>
      </c>
      <c r="D28" s="316">
        <v>41664</v>
      </c>
      <c r="E28" s="423" t="s">
        <v>21</v>
      </c>
      <c r="F28" s="75">
        <v>30000</v>
      </c>
      <c r="G28" s="425" t="s">
        <v>348</v>
      </c>
      <c r="H28" s="425" t="s">
        <v>34</v>
      </c>
      <c r="I28" s="73">
        <f t="shared" si="0"/>
        <v>18</v>
      </c>
      <c r="J28" s="426">
        <f t="shared" si="1"/>
        <v>0</v>
      </c>
      <c r="K28" s="426">
        <f t="shared" si="2"/>
        <v>0</v>
      </c>
      <c r="L28" s="426">
        <f t="shared" si="3"/>
        <v>0</v>
      </c>
      <c r="M28" s="426">
        <f t="shared" si="4"/>
        <v>30000</v>
      </c>
      <c r="N28" s="426">
        <f t="shared" si="5"/>
        <v>0</v>
      </c>
      <c r="O28" s="426">
        <f t="shared" si="6"/>
        <v>0</v>
      </c>
      <c r="P28" s="426">
        <f t="shared" si="7"/>
        <v>0</v>
      </c>
      <c r="Q28" s="426">
        <f t="shared" si="8"/>
        <v>0</v>
      </c>
      <c r="R28" s="426">
        <f t="shared" si="39"/>
        <v>0</v>
      </c>
      <c r="S28" s="426">
        <f t="shared" si="40"/>
        <v>0</v>
      </c>
      <c r="T28" s="426">
        <f t="shared" si="9"/>
        <v>0</v>
      </c>
      <c r="U28" s="426">
        <f t="shared" si="10"/>
        <v>0</v>
      </c>
      <c r="V28" s="426">
        <f t="shared" si="11"/>
        <v>0</v>
      </c>
      <c r="W28" s="426">
        <f t="shared" si="12"/>
        <v>0</v>
      </c>
      <c r="X28" s="426">
        <f t="shared" si="13"/>
        <v>0</v>
      </c>
      <c r="Y28" s="426">
        <f t="shared" si="14"/>
        <v>0</v>
      </c>
      <c r="Z28" s="426">
        <f t="shared" si="15"/>
        <v>0</v>
      </c>
      <c r="AA28" s="426">
        <f t="shared" si="16"/>
        <v>0</v>
      </c>
      <c r="AB28" s="426">
        <f t="shared" si="17"/>
        <v>0</v>
      </c>
      <c r="AC28" s="426">
        <f t="shared" si="18"/>
        <v>0</v>
      </c>
      <c r="AD28" s="426">
        <f t="shared" si="19"/>
        <v>0</v>
      </c>
      <c r="AE28" s="426">
        <f t="shared" si="20"/>
        <v>0</v>
      </c>
      <c r="AF28" s="426">
        <f t="shared" si="21"/>
        <v>0</v>
      </c>
      <c r="AG28" s="426">
        <f t="shared" si="22"/>
        <v>0</v>
      </c>
      <c r="AH28" s="426">
        <f t="shared" si="23"/>
        <v>0</v>
      </c>
      <c r="AI28" s="426">
        <f t="shared" si="24"/>
        <v>0</v>
      </c>
      <c r="AJ28" s="426">
        <f t="shared" si="25"/>
        <v>0</v>
      </c>
      <c r="AK28" s="426">
        <f t="shared" si="26"/>
        <v>0</v>
      </c>
      <c r="AL28" s="426">
        <f t="shared" si="27"/>
        <v>0</v>
      </c>
      <c r="AM28" s="426">
        <f t="shared" si="28"/>
        <v>0</v>
      </c>
      <c r="AN28" s="426">
        <f t="shared" si="29"/>
        <v>0</v>
      </c>
      <c r="AO28" s="426">
        <f t="shared" si="30"/>
        <v>0</v>
      </c>
      <c r="AP28" s="426">
        <f t="shared" si="31"/>
        <v>0</v>
      </c>
      <c r="AQ28" s="426">
        <f t="shared" si="32"/>
        <v>0</v>
      </c>
      <c r="AR28" s="426">
        <f t="shared" si="33"/>
        <v>0</v>
      </c>
      <c r="AS28" s="426">
        <f t="shared" si="34"/>
        <v>0</v>
      </c>
      <c r="AT28" s="426">
        <f t="shared" si="35"/>
        <v>0</v>
      </c>
      <c r="AU28" s="426">
        <f t="shared" si="36"/>
        <v>0</v>
      </c>
      <c r="AV28" s="426">
        <f t="shared" si="37"/>
        <v>0</v>
      </c>
      <c r="AW28" s="426">
        <f t="shared" si="38"/>
        <v>0</v>
      </c>
    </row>
    <row r="29" spans="1:49" s="421" customFormat="1" ht="12.75" customHeight="1">
      <c r="A29" s="73">
        <f t="array" ref="A29">IF(C29&lt;&gt;0,SUM(($C$11:C29&lt;&gt;0)*1),"")</f>
        <v>19</v>
      </c>
      <c r="B29" s="422">
        <v>41664</v>
      </c>
      <c r="C29" s="316" t="s">
        <v>8</v>
      </c>
      <c r="D29" s="316">
        <v>41664</v>
      </c>
      <c r="E29" s="423" t="s">
        <v>335</v>
      </c>
      <c r="F29" s="75">
        <v>3000</v>
      </c>
      <c r="G29" s="425" t="s">
        <v>10</v>
      </c>
      <c r="H29" s="425" t="s">
        <v>34</v>
      </c>
      <c r="I29" s="73">
        <f t="shared" si="0"/>
        <v>19</v>
      </c>
      <c r="J29" s="426">
        <f t="shared" si="1"/>
        <v>0</v>
      </c>
      <c r="K29" s="426">
        <f t="shared" si="2"/>
        <v>0</v>
      </c>
      <c r="L29" s="426">
        <f t="shared" si="3"/>
        <v>0</v>
      </c>
      <c r="M29" s="426">
        <f t="shared" si="4"/>
        <v>3000</v>
      </c>
      <c r="N29" s="426">
        <f t="shared" si="5"/>
        <v>3000</v>
      </c>
      <c r="O29" s="426">
        <f t="shared" si="6"/>
        <v>0</v>
      </c>
      <c r="P29" s="426">
        <f t="shared" si="7"/>
        <v>0</v>
      </c>
      <c r="Q29" s="426">
        <f t="shared" si="8"/>
        <v>0</v>
      </c>
      <c r="R29" s="426">
        <f t="shared" si="39"/>
        <v>0</v>
      </c>
      <c r="S29" s="426">
        <f t="shared" si="40"/>
        <v>0</v>
      </c>
      <c r="T29" s="426">
        <f t="shared" si="9"/>
        <v>0</v>
      </c>
      <c r="U29" s="426">
        <f t="shared" si="10"/>
        <v>0</v>
      </c>
      <c r="V29" s="426">
        <f t="shared" si="11"/>
        <v>0</v>
      </c>
      <c r="W29" s="426">
        <f t="shared" si="12"/>
        <v>0</v>
      </c>
      <c r="X29" s="426">
        <f t="shared" si="13"/>
        <v>0</v>
      </c>
      <c r="Y29" s="426">
        <f t="shared" si="14"/>
        <v>0</v>
      </c>
      <c r="Z29" s="426">
        <f t="shared" si="15"/>
        <v>0</v>
      </c>
      <c r="AA29" s="426">
        <f t="shared" si="16"/>
        <v>0</v>
      </c>
      <c r="AB29" s="426">
        <f t="shared" si="17"/>
        <v>0</v>
      </c>
      <c r="AC29" s="426">
        <f t="shared" si="18"/>
        <v>0</v>
      </c>
      <c r="AD29" s="426">
        <f t="shared" si="19"/>
        <v>0</v>
      </c>
      <c r="AE29" s="426">
        <f t="shared" si="20"/>
        <v>0</v>
      </c>
      <c r="AF29" s="426">
        <f t="shared" si="21"/>
        <v>0</v>
      </c>
      <c r="AG29" s="426">
        <f t="shared" si="22"/>
        <v>0</v>
      </c>
      <c r="AH29" s="426">
        <f t="shared" si="23"/>
        <v>0</v>
      </c>
      <c r="AI29" s="426">
        <f t="shared" si="24"/>
        <v>0</v>
      </c>
      <c r="AJ29" s="426">
        <f t="shared" si="25"/>
        <v>0</v>
      </c>
      <c r="AK29" s="426">
        <f t="shared" si="26"/>
        <v>0</v>
      </c>
      <c r="AL29" s="426">
        <f t="shared" si="27"/>
        <v>0</v>
      </c>
      <c r="AM29" s="426">
        <f t="shared" si="28"/>
        <v>0</v>
      </c>
      <c r="AN29" s="426">
        <f t="shared" si="29"/>
        <v>0</v>
      </c>
      <c r="AO29" s="426">
        <f t="shared" si="30"/>
        <v>0</v>
      </c>
      <c r="AP29" s="426">
        <f t="shared" si="31"/>
        <v>0</v>
      </c>
      <c r="AQ29" s="426">
        <f t="shared" si="32"/>
        <v>0</v>
      </c>
      <c r="AR29" s="426">
        <f t="shared" si="33"/>
        <v>0</v>
      </c>
      <c r="AS29" s="426">
        <f t="shared" si="34"/>
        <v>0</v>
      </c>
      <c r="AT29" s="426">
        <f t="shared" si="35"/>
        <v>0</v>
      </c>
      <c r="AU29" s="426">
        <f t="shared" si="36"/>
        <v>0</v>
      </c>
      <c r="AV29" s="426">
        <f t="shared" si="37"/>
        <v>0</v>
      </c>
      <c r="AW29" s="426">
        <f t="shared" si="38"/>
        <v>0</v>
      </c>
    </row>
    <row r="30" spans="1:49" s="421" customFormat="1" ht="12.75" customHeight="1">
      <c r="A30" s="73">
        <f t="array" ref="A30">IF(C30&lt;&gt;0,SUM(($C$11:C30&lt;&gt;0)*1),"")</f>
        <v>20</v>
      </c>
      <c r="B30" s="422">
        <v>41664</v>
      </c>
      <c r="C30" s="316" t="s">
        <v>8</v>
      </c>
      <c r="D30" s="316">
        <v>41664</v>
      </c>
      <c r="E30" s="423" t="s">
        <v>344</v>
      </c>
      <c r="F30" s="75">
        <v>43824000</v>
      </c>
      <c r="G30" s="425" t="s">
        <v>9</v>
      </c>
      <c r="H30" s="425" t="s">
        <v>34</v>
      </c>
      <c r="I30" s="73">
        <f t="shared" si="0"/>
        <v>20</v>
      </c>
      <c r="J30" s="426">
        <f t="shared" si="1"/>
        <v>0</v>
      </c>
      <c r="K30" s="426">
        <f t="shared" si="2"/>
        <v>0</v>
      </c>
      <c r="L30" s="426">
        <f t="shared" si="3"/>
        <v>0</v>
      </c>
      <c r="M30" s="426">
        <f t="shared" si="4"/>
        <v>43824000</v>
      </c>
      <c r="N30" s="426">
        <f t="shared" si="5"/>
        <v>0</v>
      </c>
      <c r="O30" s="426">
        <f t="shared" si="6"/>
        <v>0</v>
      </c>
      <c r="P30" s="426">
        <f t="shared" si="7"/>
        <v>0</v>
      </c>
      <c r="Q30" s="426">
        <f t="shared" si="8"/>
        <v>0</v>
      </c>
      <c r="R30" s="426">
        <f t="shared" si="39"/>
        <v>0</v>
      </c>
      <c r="S30" s="426">
        <f t="shared" si="40"/>
        <v>0</v>
      </c>
      <c r="T30" s="426">
        <f t="shared" si="9"/>
        <v>43824000</v>
      </c>
      <c r="U30" s="426">
        <f t="shared" si="10"/>
        <v>0</v>
      </c>
      <c r="V30" s="426">
        <f t="shared" si="11"/>
        <v>0</v>
      </c>
      <c r="W30" s="426">
        <f t="shared" si="12"/>
        <v>0</v>
      </c>
      <c r="X30" s="426">
        <f t="shared" si="13"/>
        <v>0</v>
      </c>
      <c r="Y30" s="426">
        <f t="shared" si="14"/>
        <v>0</v>
      </c>
      <c r="Z30" s="426">
        <f t="shared" si="15"/>
        <v>0</v>
      </c>
      <c r="AA30" s="426">
        <f t="shared" si="16"/>
        <v>0</v>
      </c>
      <c r="AB30" s="426">
        <f t="shared" si="17"/>
        <v>0</v>
      </c>
      <c r="AC30" s="426">
        <f t="shared" si="18"/>
        <v>0</v>
      </c>
      <c r="AD30" s="426">
        <f t="shared" si="19"/>
        <v>0</v>
      </c>
      <c r="AE30" s="426">
        <f t="shared" si="20"/>
        <v>0</v>
      </c>
      <c r="AF30" s="426">
        <f t="shared" si="21"/>
        <v>0</v>
      </c>
      <c r="AG30" s="426">
        <f t="shared" si="22"/>
        <v>0</v>
      </c>
      <c r="AH30" s="426">
        <f t="shared" si="23"/>
        <v>0</v>
      </c>
      <c r="AI30" s="426">
        <f t="shared" si="24"/>
        <v>0</v>
      </c>
      <c r="AJ30" s="426">
        <f t="shared" si="25"/>
        <v>0</v>
      </c>
      <c r="AK30" s="426">
        <f t="shared" si="26"/>
        <v>0</v>
      </c>
      <c r="AL30" s="426">
        <f t="shared" si="27"/>
        <v>0</v>
      </c>
      <c r="AM30" s="426">
        <f t="shared" si="28"/>
        <v>0</v>
      </c>
      <c r="AN30" s="426">
        <f t="shared" si="29"/>
        <v>0</v>
      </c>
      <c r="AO30" s="426">
        <f t="shared" si="30"/>
        <v>0</v>
      </c>
      <c r="AP30" s="426">
        <f t="shared" si="31"/>
        <v>0</v>
      </c>
      <c r="AQ30" s="426">
        <f t="shared" si="32"/>
        <v>0</v>
      </c>
      <c r="AR30" s="426">
        <f t="shared" si="33"/>
        <v>0</v>
      </c>
      <c r="AS30" s="426">
        <f t="shared" si="34"/>
        <v>0</v>
      </c>
      <c r="AT30" s="426">
        <f t="shared" si="35"/>
        <v>0</v>
      </c>
      <c r="AU30" s="426">
        <f t="shared" si="36"/>
        <v>0</v>
      </c>
      <c r="AV30" s="426">
        <f t="shared" si="37"/>
        <v>0</v>
      </c>
      <c r="AW30" s="426">
        <f t="shared" si="38"/>
        <v>0</v>
      </c>
    </row>
    <row r="31" spans="1:49" s="421" customFormat="1" ht="12.75" customHeight="1">
      <c r="A31" s="73">
        <f t="array" ref="A31">IF(C31&lt;&gt;0,SUM(($C$11:C31&lt;&gt;0)*1),"")</f>
        <v>21</v>
      </c>
      <c r="B31" s="422">
        <v>41664</v>
      </c>
      <c r="C31" s="316" t="s">
        <v>8</v>
      </c>
      <c r="D31" s="316">
        <v>41664</v>
      </c>
      <c r="E31" s="423" t="s">
        <v>21</v>
      </c>
      <c r="F31" s="75">
        <v>22804</v>
      </c>
      <c r="G31" s="425" t="s">
        <v>348</v>
      </c>
      <c r="H31" s="425" t="s">
        <v>34</v>
      </c>
      <c r="I31" s="73">
        <f t="shared" si="0"/>
        <v>21</v>
      </c>
      <c r="J31" s="426">
        <f t="shared" si="1"/>
        <v>0</v>
      </c>
      <c r="K31" s="426">
        <f t="shared" si="2"/>
        <v>0</v>
      </c>
      <c r="L31" s="426">
        <f t="shared" si="3"/>
        <v>0</v>
      </c>
      <c r="M31" s="426">
        <f t="shared" si="4"/>
        <v>22804</v>
      </c>
      <c r="N31" s="426">
        <f t="shared" si="5"/>
        <v>0</v>
      </c>
      <c r="O31" s="426">
        <f t="shared" si="6"/>
        <v>0</v>
      </c>
      <c r="P31" s="426">
        <f t="shared" si="7"/>
        <v>0</v>
      </c>
      <c r="Q31" s="426">
        <f t="shared" si="8"/>
        <v>0</v>
      </c>
      <c r="R31" s="426">
        <f t="shared" si="39"/>
        <v>0</v>
      </c>
      <c r="S31" s="426">
        <f t="shared" si="40"/>
        <v>0</v>
      </c>
      <c r="T31" s="426">
        <f t="shared" si="9"/>
        <v>0</v>
      </c>
      <c r="U31" s="426">
        <f t="shared" si="10"/>
        <v>0</v>
      </c>
      <c r="V31" s="426">
        <f t="shared" si="11"/>
        <v>0</v>
      </c>
      <c r="W31" s="426">
        <f t="shared" si="12"/>
        <v>0</v>
      </c>
      <c r="X31" s="426">
        <f t="shared" si="13"/>
        <v>0</v>
      </c>
      <c r="Y31" s="426">
        <f t="shared" si="14"/>
        <v>0</v>
      </c>
      <c r="Z31" s="426">
        <f t="shared" si="15"/>
        <v>0</v>
      </c>
      <c r="AA31" s="426">
        <f t="shared" si="16"/>
        <v>0</v>
      </c>
      <c r="AB31" s="426">
        <f t="shared" si="17"/>
        <v>0</v>
      </c>
      <c r="AC31" s="426">
        <f t="shared" si="18"/>
        <v>0</v>
      </c>
      <c r="AD31" s="426">
        <f t="shared" si="19"/>
        <v>0</v>
      </c>
      <c r="AE31" s="426">
        <f t="shared" si="20"/>
        <v>0</v>
      </c>
      <c r="AF31" s="426">
        <f t="shared" si="21"/>
        <v>0</v>
      </c>
      <c r="AG31" s="426">
        <f t="shared" si="22"/>
        <v>0</v>
      </c>
      <c r="AH31" s="426">
        <f t="shared" si="23"/>
        <v>0</v>
      </c>
      <c r="AI31" s="426">
        <f t="shared" si="24"/>
        <v>0</v>
      </c>
      <c r="AJ31" s="426">
        <f t="shared" si="25"/>
        <v>0</v>
      </c>
      <c r="AK31" s="426">
        <f t="shared" si="26"/>
        <v>0</v>
      </c>
      <c r="AL31" s="426">
        <f t="shared" si="27"/>
        <v>0</v>
      </c>
      <c r="AM31" s="426">
        <f t="shared" si="28"/>
        <v>0</v>
      </c>
      <c r="AN31" s="426">
        <f t="shared" si="29"/>
        <v>0</v>
      </c>
      <c r="AO31" s="426">
        <f t="shared" si="30"/>
        <v>0</v>
      </c>
      <c r="AP31" s="426">
        <f t="shared" si="31"/>
        <v>0</v>
      </c>
      <c r="AQ31" s="426">
        <f t="shared" si="32"/>
        <v>0</v>
      </c>
      <c r="AR31" s="426">
        <f t="shared" si="33"/>
        <v>0</v>
      </c>
      <c r="AS31" s="426">
        <f t="shared" si="34"/>
        <v>0</v>
      </c>
      <c r="AT31" s="426">
        <f t="shared" si="35"/>
        <v>0</v>
      </c>
      <c r="AU31" s="426">
        <f t="shared" si="36"/>
        <v>0</v>
      </c>
      <c r="AV31" s="426">
        <f t="shared" si="37"/>
        <v>0</v>
      </c>
      <c r="AW31" s="426">
        <f t="shared" si="38"/>
        <v>0</v>
      </c>
    </row>
    <row r="32" spans="1:49" s="421" customFormat="1" ht="12.75" customHeight="1">
      <c r="A32" s="73">
        <f t="array" ref="A32">IF(C32&lt;&gt;0,SUM(($C$11:C32&lt;&gt;0)*1),"")</f>
        <v>22</v>
      </c>
      <c r="B32" s="422">
        <v>41664</v>
      </c>
      <c r="C32" s="316" t="s">
        <v>8</v>
      </c>
      <c r="D32" s="316">
        <v>41664</v>
      </c>
      <c r="E32" s="423" t="s">
        <v>335</v>
      </c>
      <c r="F32" s="75">
        <v>2280</v>
      </c>
      <c r="G32" s="425" t="s">
        <v>10</v>
      </c>
      <c r="H32" s="425" t="s">
        <v>34</v>
      </c>
      <c r="I32" s="73">
        <f t="shared" si="0"/>
        <v>22</v>
      </c>
      <c r="J32" s="426">
        <f t="shared" si="1"/>
        <v>0</v>
      </c>
      <c r="K32" s="426">
        <f t="shared" si="2"/>
        <v>0</v>
      </c>
      <c r="L32" s="426">
        <f t="shared" si="3"/>
        <v>0</v>
      </c>
      <c r="M32" s="426">
        <f t="shared" si="4"/>
        <v>2280</v>
      </c>
      <c r="N32" s="426">
        <f t="shared" si="5"/>
        <v>2280</v>
      </c>
      <c r="O32" s="426">
        <f t="shared" si="6"/>
        <v>0</v>
      </c>
      <c r="P32" s="426">
        <f t="shared" si="7"/>
        <v>0</v>
      </c>
      <c r="Q32" s="426">
        <f t="shared" si="8"/>
        <v>0</v>
      </c>
      <c r="R32" s="426">
        <f t="shared" si="39"/>
        <v>0</v>
      </c>
      <c r="S32" s="426">
        <f t="shared" si="40"/>
        <v>0</v>
      </c>
      <c r="T32" s="426">
        <f t="shared" si="9"/>
        <v>0</v>
      </c>
      <c r="U32" s="426">
        <f t="shared" si="10"/>
        <v>0</v>
      </c>
      <c r="V32" s="426">
        <f t="shared" si="11"/>
        <v>0</v>
      </c>
      <c r="W32" s="426">
        <f t="shared" si="12"/>
        <v>0</v>
      </c>
      <c r="X32" s="426">
        <f t="shared" si="13"/>
        <v>0</v>
      </c>
      <c r="Y32" s="426">
        <f t="shared" si="14"/>
        <v>0</v>
      </c>
      <c r="Z32" s="426">
        <f t="shared" si="15"/>
        <v>0</v>
      </c>
      <c r="AA32" s="426">
        <f t="shared" si="16"/>
        <v>0</v>
      </c>
      <c r="AB32" s="426">
        <f t="shared" si="17"/>
        <v>0</v>
      </c>
      <c r="AC32" s="426">
        <f t="shared" si="18"/>
        <v>0</v>
      </c>
      <c r="AD32" s="426">
        <f t="shared" si="19"/>
        <v>0</v>
      </c>
      <c r="AE32" s="426">
        <f t="shared" si="20"/>
        <v>0</v>
      </c>
      <c r="AF32" s="426">
        <f t="shared" si="21"/>
        <v>0</v>
      </c>
      <c r="AG32" s="426">
        <f t="shared" si="22"/>
        <v>0</v>
      </c>
      <c r="AH32" s="426">
        <f t="shared" si="23"/>
        <v>0</v>
      </c>
      <c r="AI32" s="426">
        <f t="shared" si="24"/>
        <v>0</v>
      </c>
      <c r="AJ32" s="426">
        <f t="shared" si="25"/>
        <v>0</v>
      </c>
      <c r="AK32" s="426">
        <f t="shared" si="26"/>
        <v>0</v>
      </c>
      <c r="AL32" s="426">
        <f t="shared" si="27"/>
        <v>0</v>
      </c>
      <c r="AM32" s="426">
        <f t="shared" si="28"/>
        <v>0</v>
      </c>
      <c r="AN32" s="426">
        <f t="shared" si="29"/>
        <v>0</v>
      </c>
      <c r="AO32" s="426">
        <f t="shared" si="30"/>
        <v>0</v>
      </c>
      <c r="AP32" s="426">
        <f t="shared" si="31"/>
        <v>0</v>
      </c>
      <c r="AQ32" s="426">
        <f t="shared" si="32"/>
        <v>0</v>
      </c>
      <c r="AR32" s="426">
        <f t="shared" si="33"/>
        <v>0</v>
      </c>
      <c r="AS32" s="426">
        <f t="shared" si="34"/>
        <v>0</v>
      </c>
      <c r="AT32" s="426">
        <f t="shared" si="35"/>
        <v>0</v>
      </c>
      <c r="AU32" s="426">
        <f t="shared" si="36"/>
        <v>0</v>
      </c>
      <c r="AV32" s="426">
        <f t="shared" si="37"/>
        <v>0</v>
      </c>
      <c r="AW32" s="426">
        <f t="shared" si="38"/>
        <v>0</v>
      </c>
    </row>
    <row r="33" spans="1:49" s="421" customFormat="1" ht="12.75" customHeight="1">
      <c r="A33" s="73">
        <f t="array" ref="A33">IF(C33&lt;&gt;0,SUM(($C$11:C33&lt;&gt;0)*1),"")</f>
        <v>23</v>
      </c>
      <c r="B33" s="422">
        <v>41699</v>
      </c>
      <c r="C33" s="316" t="s">
        <v>44</v>
      </c>
      <c r="D33" s="316">
        <v>41699</v>
      </c>
      <c r="E33" s="423" t="s">
        <v>342</v>
      </c>
      <c r="F33" s="75">
        <v>76500000</v>
      </c>
      <c r="G33" s="425" t="s">
        <v>34</v>
      </c>
      <c r="H33" s="425" t="s">
        <v>120</v>
      </c>
      <c r="I33" s="73">
        <f t="shared" si="0"/>
        <v>23</v>
      </c>
      <c r="J33" s="426">
        <f t="shared" si="1"/>
        <v>0</v>
      </c>
      <c r="K33" s="426">
        <f t="shared" si="2"/>
        <v>76500000</v>
      </c>
      <c r="L33" s="426">
        <f t="shared" si="3"/>
        <v>76500000</v>
      </c>
      <c r="M33" s="426">
        <f t="shared" si="4"/>
        <v>0</v>
      </c>
      <c r="N33" s="426">
        <f t="shared" si="5"/>
        <v>0</v>
      </c>
      <c r="O33" s="426">
        <f t="shared" si="6"/>
        <v>0</v>
      </c>
      <c r="P33" s="426">
        <f t="shared" si="7"/>
        <v>0</v>
      </c>
      <c r="Q33" s="426">
        <f t="shared" si="8"/>
        <v>0</v>
      </c>
      <c r="R33" s="426">
        <f t="shared" si="39"/>
        <v>0</v>
      </c>
      <c r="S33" s="426">
        <f t="shared" si="40"/>
        <v>0</v>
      </c>
      <c r="T33" s="426">
        <f t="shared" si="9"/>
        <v>0</v>
      </c>
      <c r="U33" s="426">
        <f t="shared" si="10"/>
        <v>0</v>
      </c>
      <c r="V33" s="426">
        <f t="shared" si="11"/>
        <v>0</v>
      </c>
      <c r="W33" s="426">
        <f t="shared" si="12"/>
        <v>0</v>
      </c>
      <c r="X33" s="426">
        <f t="shared" si="13"/>
        <v>0</v>
      </c>
      <c r="Y33" s="426">
        <f t="shared" si="14"/>
        <v>0</v>
      </c>
      <c r="Z33" s="426">
        <f t="shared" si="15"/>
        <v>0</v>
      </c>
      <c r="AA33" s="426">
        <f t="shared" si="16"/>
        <v>0</v>
      </c>
      <c r="AB33" s="426">
        <f t="shared" si="17"/>
        <v>0</v>
      </c>
      <c r="AC33" s="426">
        <f t="shared" si="18"/>
        <v>0</v>
      </c>
      <c r="AD33" s="426">
        <f t="shared" si="19"/>
        <v>0</v>
      </c>
      <c r="AE33" s="426">
        <f t="shared" si="20"/>
        <v>0</v>
      </c>
      <c r="AF33" s="426">
        <f t="shared" si="21"/>
        <v>0</v>
      </c>
      <c r="AG33" s="426">
        <f t="shared" si="22"/>
        <v>0</v>
      </c>
      <c r="AH33" s="426">
        <f t="shared" si="23"/>
        <v>0</v>
      </c>
      <c r="AI33" s="426">
        <f t="shared" si="24"/>
        <v>0</v>
      </c>
      <c r="AJ33" s="426">
        <f t="shared" si="25"/>
        <v>0</v>
      </c>
      <c r="AK33" s="426">
        <f t="shared" si="26"/>
        <v>0</v>
      </c>
      <c r="AL33" s="426">
        <f t="shared" si="27"/>
        <v>0</v>
      </c>
      <c r="AM33" s="426">
        <f t="shared" si="28"/>
        <v>0</v>
      </c>
      <c r="AN33" s="426">
        <f t="shared" si="29"/>
        <v>0</v>
      </c>
      <c r="AO33" s="426">
        <f t="shared" si="30"/>
        <v>0</v>
      </c>
      <c r="AP33" s="426">
        <f t="shared" si="31"/>
        <v>0</v>
      </c>
      <c r="AQ33" s="426">
        <f t="shared" si="32"/>
        <v>0</v>
      </c>
      <c r="AR33" s="426">
        <f t="shared" si="33"/>
        <v>0</v>
      </c>
      <c r="AS33" s="426">
        <f t="shared" si="34"/>
        <v>0</v>
      </c>
      <c r="AT33" s="426">
        <f t="shared" si="35"/>
        <v>0</v>
      </c>
      <c r="AU33" s="426">
        <f t="shared" si="36"/>
        <v>0</v>
      </c>
      <c r="AV33" s="426">
        <f t="shared" si="37"/>
        <v>0</v>
      </c>
      <c r="AW33" s="426">
        <f t="shared" si="38"/>
        <v>0</v>
      </c>
    </row>
    <row r="34" spans="1:49" s="421" customFormat="1" ht="12.75" customHeight="1">
      <c r="A34" s="73">
        <f t="array" ref="A34">IF(C34&lt;&gt;0,SUM(($C$11:C34&lt;&gt;0)*1),"")</f>
        <v>24</v>
      </c>
      <c r="B34" s="422">
        <v>41699</v>
      </c>
      <c r="C34" s="427" t="s">
        <v>8</v>
      </c>
      <c r="D34" s="316">
        <v>41699</v>
      </c>
      <c r="E34" s="423" t="s">
        <v>344</v>
      </c>
      <c r="F34" s="75">
        <v>76462320</v>
      </c>
      <c r="G34" s="425" t="s">
        <v>9</v>
      </c>
      <c r="H34" s="425" t="s">
        <v>34</v>
      </c>
      <c r="I34" s="73">
        <f t="shared" si="0"/>
        <v>24</v>
      </c>
      <c r="J34" s="426">
        <f t="shared" si="1"/>
        <v>0</v>
      </c>
      <c r="K34" s="426">
        <f t="shared" si="2"/>
        <v>0</v>
      </c>
      <c r="L34" s="426">
        <f t="shared" si="3"/>
        <v>0</v>
      </c>
      <c r="M34" s="426">
        <f t="shared" si="4"/>
        <v>76462320</v>
      </c>
      <c r="N34" s="426">
        <f t="shared" si="5"/>
        <v>0</v>
      </c>
      <c r="O34" s="426">
        <f t="shared" si="6"/>
        <v>0</v>
      </c>
      <c r="P34" s="426">
        <f t="shared" si="7"/>
        <v>0</v>
      </c>
      <c r="Q34" s="426">
        <f t="shared" si="8"/>
        <v>0</v>
      </c>
      <c r="R34" s="426">
        <f t="shared" si="39"/>
        <v>0</v>
      </c>
      <c r="S34" s="426">
        <f t="shared" si="40"/>
        <v>0</v>
      </c>
      <c r="T34" s="426">
        <f t="shared" si="9"/>
        <v>76462320</v>
      </c>
      <c r="U34" s="426">
        <f t="shared" si="10"/>
        <v>0</v>
      </c>
      <c r="V34" s="426">
        <f t="shared" si="11"/>
        <v>0</v>
      </c>
      <c r="W34" s="426">
        <f t="shared" si="12"/>
        <v>0</v>
      </c>
      <c r="X34" s="426">
        <f t="shared" si="13"/>
        <v>0</v>
      </c>
      <c r="Y34" s="426">
        <f t="shared" si="14"/>
        <v>0</v>
      </c>
      <c r="Z34" s="426">
        <f t="shared" si="15"/>
        <v>0</v>
      </c>
      <c r="AA34" s="426">
        <f t="shared" si="16"/>
        <v>0</v>
      </c>
      <c r="AB34" s="426">
        <f t="shared" si="17"/>
        <v>0</v>
      </c>
      <c r="AC34" s="426">
        <f t="shared" si="18"/>
        <v>0</v>
      </c>
      <c r="AD34" s="426">
        <f t="shared" si="19"/>
        <v>0</v>
      </c>
      <c r="AE34" s="426">
        <f t="shared" si="20"/>
        <v>0</v>
      </c>
      <c r="AF34" s="426">
        <f t="shared" si="21"/>
        <v>0</v>
      </c>
      <c r="AG34" s="426">
        <f t="shared" si="22"/>
        <v>0</v>
      </c>
      <c r="AH34" s="426">
        <f t="shared" si="23"/>
        <v>0</v>
      </c>
      <c r="AI34" s="426">
        <f t="shared" si="24"/>
        <v>0</v>
      </c>
      <c r="AJ34" s="426">
        <f t="shared" si="25"/>
        <v>0</v>
      </c>
      <c r="AK34" s="426">
        <f t="shared" si="26"/>
        <v>0</v>
      </c>
      <c r="AL34" s="426">
        <f t="shared" si="27"/>
        <v>0</v>
      </c>
      <c r="AM34" s="426">
        <f t="shared" si="28"/>
        <v>0</v>
      </c>
      <c r="AN34" s="426">
        <f t="shared" si="29"/>
        <v>0</v>
      </c>
      <c r="AO34" s="426">
        <f t="shared" si="30"/>
        <v>0</v>
      </c>
      <c r="AP34" s="426">
        <f t="shared" si="31"/>
        <v>0</v>
      </c>
      <c r="AQ34" s="426">
        <f t="shared" si="32"/>
        <v>0</v>
      </c>
      <c r="AR34" s="426">
        <f t="shared" si="33"/>
        <v>0</v>
      </c>
      <c r="AS34" s="426">
        <f t="shared" si="34"/>
        <v>0</v>
      </c>
      <c r="AT34" s="426">
        <f t="shared" si="35"/>
        <v>0</v>
      </c>
      <c r="AU34" s="426">
        <f t="shared" si="36"/>
        <v>0</v>
      </c>
      <c r="AV34" s="426">
        <f t="shared" si="37"/>
        <v>0</v>
      </c>
      <c r="AW34" s="426">
        <f t="shared" si="38"/>
        <v>0</v>
      </c>
    </row>
    <row r="35" spans="1:49" s="421" customFormat="1" ht="12.75" customHeight="1">
      <c r="A35" s="73">
        <f t="array" ref="A35">IF(C35&lt;&gt;0,SUM(($C$11:C35&lt;&gt;0)*1),"")</f>
        <v>25</v>
      </c>
      <c r="B35" s="422">
        <v>41699</v>
      </c>
      <c r="C35" s="316" t="s">
        <v>8</v>
      </c>
      <c r="D35" s="316">
        <v>41699</v>
      </c>
      <c r="E35" s="423" t="s">
        <v>21</v>
      </c>
      <c r="F35" s="75">
        <v>32561</v>
      </c>
      <c r="G35" s="425" t="s">
        <v>348</v>
      </c>
      <c r="H35" s="425" t="s">
        <v>34</v>
      </c>
      <c r="I35" s="73">
        <f>A35</f>
        <v>25</v>
      </c>
      <c r="J35" s="426">
        <f t="shared" si="1"/>
        <v>0</v>
      </c>
      <c r="K35" s="426">
        <f t="shared" si="2"/>
        <v>0</v>
      </c>
      <c r="L35" s="426">
        <f t="shared" si="3"/>
        <v>0</v>
      </c>
      <c r="M35" s="426">
        <f t="shared" si="4"/>
        <v>32561</v>
      </c>
      <c r="N35" s="426">
        <f t="shared" si="5"/>
        <v>0</v>
      </c>
      <c r="O35" s="426">
        <f t="shared" si="6"/>
        <v>0</v>
      </c>
      <c r="P35" s="426">
        <f t="shared" si="7"/>
        <v>0</v>
      </c>
      <c r="Q35" s="426">
        <f t="shared" si="8"/>
        <v>0</v>
      </c>
      <c r="R35" s="426">
        <f t="shared" si="39"/>
        <v>0</v>
      </c>
      <c r="S35" s="426">
        <f t="shared" si="40"/>
        <v>0</v>
      </c>
      <c r="T35" s="426">
        <f t="shared" si="9"/>
        <v>0</v>
      </c>
      <c r="U35" s="426">
        <f t="shared" si="10"/>
        <v>0</v>
      </c>
      <c r="V35" s="426">
        <f t="shared" si="11"/>
        <v>0</v>
      </c>
      <c r="W35" s="426">
        <f t="shared" si="12"/>
        <v>0</v>
      </c>
      <c r="X35" s="426">
        <f t="shared" si="13"/>
        <v>0</v>
      </c>
      <c r="Y35" s="426">
        <f t="shared" si="14"/>
        <v>0</v>
      </c>
      <c r="Z35" s="426">
        <f t="shared" si="15"/>
        <v>0</v>
      </c>
      <c r="AA35" s="426">
        <f t="shared" si="16"/>
        <v>0</v>
      </c>
      <c r="AB35" s="426">
        <f t="shared" si="17"/>
        <v>0</v>
      </c>
      <c r="AC35" s="426">
        <f t="shared" si="18"/>
        <v>0</v>
      </c>
      <c r="AD35" s="426">
        <f t="shared" si="19"/>
        <v>0</v>
      </c>
      <c r="AE35" s="426">
        <f t="shared" si="20"/>
        <v>0</v>
      </c>
      <c r="AF35" s="426">
        <f t="shared" si="21"/>
        <v>0</v>
      </c>
      <c r="AG35" s="426">
        <f t="shared" si="22"/>
        <v>0</v>
      </c>
      <c r="AH35" s="426">
        <f t="shared" si="23"/>
        <v>0</v>
      </c>
      <c r="AI35" s="426">
        <f t="shared" si="24"/>
        <v>0</v>
      </c>
      <c r="AJ35" s="426">
        <f t="shared" si="25"/>
        <v>0</v>
      </c>
      <c r="AK35" s="426">
        <f t="shared" si="26"/>
        <v>0</v>
      </c>
      <c r="AL35" s="426">
        <f t="shared" si="27"/>
        <v>0</v>
      </c>
      <c r="AM35" s="426">
        <f t="shared" si="28"/>
        <v>0</v>
      </c>
      <c r="AN35" s="426">
        <f t="shared" si="29"/>
        <v>0</v>
      </c>
      <c r="AO35" s="426">
        <f t="shared" si="30"/>
        <v>0</v>
      </c>
      <c r="AP35" s="426">
        <f t="shared" si="31"/>
        <v>0</v>
      </c>
      <c r="AQ35" s="426">
        <f t="shared" si="32"/>
        <v>0</v>
      </c>
      <c r="AR35" s="426">
        <f t="shared" si="33"/>
        <v>0</v>
      </c>
      <c r="AS35" s="426">
        <f t="shared" si="34"/>
        <v>0</v>
      </c>
      <c r="AT35" s="426">
        <f t="shared" si="35"/>
        <v>0</v>
      </c>
      <c r="AU35" s="426">
        <f t="shared" si="36"/>
        <v>0</v>
      </c>
      <c r="AV35" s="426">
        <f t="shared" si="37"/>
        <v>0</v>
      </c>
      <c r="AW35" s="426">
        <f t="shared" si="38"/>
        <v>0</v>
      </c>
    </row>
    <row r="36" spans="1:49" s="421" customFormat="1" ht="12.75" customHeight="1">
      <c r="A36" s="73">
        <f t="array" ref="A36">IF(C36&lt;&gt;0,SUM(($C$11:C36&lt;&gt;0)*1),"")</f>
        <v>26</v>
      </c>
      <c r="B36" s="422">
        <v>41699</v>
      </c>
      <c r="C36" s="316" t="s">
        <v>8</v>
      </c>
      <c r="D36" s="316">
        <v>41699</v>
      </c>
      <c r="E36" s="423" t="s">
        <v>335</v>
      </c>
      <c r="F36" s="75">
        <v>3256</v>
      </c>
      <c r="G36" s="425" t="s">
        <v>10</v>
      </c>
      <c r="H36" s="425" t="s">
        <v>34</v>
      </c>
      <c r="I36" s="73">
        <f>A36</f>
        <v>26</v>
      </c>
      <c r="J36" s="426">
        <f t="shared" si="1"/>
        <v>0</v>
      </c>
      <c r="K36" s="426">
        <f t="shared" si="2"/>
        <v>0</v>
      </c>
      <c r="L36" s="426">
        <f t="shared" si="3"/>
        <v>0</v>
      </c>
      <c r="M36" s="426">
        <f t="shared" si="4"/>
        <v>3256</v>
      </c>
      <c r="N36" s="426">
        <f t="shared" si="5"/>
        <v>3256</v>
      </c>
      <c r="O36" s="426">
        <f t="shared" si="6"/>
        <v>0</v>
      </c>
      <c r="P36" s="426">
        <f t="shared" si="7"/>
        <v>0</v>
      </c>
      <c r="Q36" s="426">
        <f t="shared" si="8"/>
        <v>0</v>
      </c>
      <c r="R36" s="426">
        <f t="shared" si="39"/>
        <v>0</v>
      </c>
      <c r="S36" s="426">
        <f t="shared" si="40"/>
        <v>0</v>
      </c>
      <c r="T36" s="426">
        <f t="shared" si="9"/>
        <v>0</v>
      </c>
      <c r="U36" s="426">
        <f t="shared" si="10"/>
        <v>0</v>
      </c>
      <c r="V36" s="426">
        <f t="shared" si="11"/>
        <v>0</v>
      </c>
      <c r="W36" s="426">
        <f t="shared" si="12"/>
        <v>0</v>
      </c>
      <c r="X36" s="426">
        <f t="shared" si="13"/>
        <v>0</v>
      </c>
      <c r="Y36" s="426">
        <f t="shared" si="14"/>
        <v>0</v>
      </c>
      <c r="Z36" s="426">
        <f t="shared" si="15"/>
        <v>0</v>
      </c>
      <c r="AA36" s="426">
        <f t="shared" si="16"/>
        <v>0</v>
      </c>
      <c r="AB36" s="426">
        <f t="shared" si="17"/>
        <v>0</v>
      </c>
      <c r="AC36" s="426">
        <f t="shared" si="18"/>
        <v>0</v>
      </c>
      <c r="AD36" s="426">
        <f t="shared" si="19"/>
        <v>0</v>
      </c>
      <c r="AE36" s="426">
        <f t="shared" si="20"/>
        <v>0</v>
      </c>
      <c r="AF36" s="426">
        <f t="shared" si="21"/>
        <v>0</v>
      </c>
      <c r="AG36" s="426">
        <f t="shared" si="22"/>
        <v>0</v>
      </c>
      <c r="AH36" s="426">
        <f t="shared" si="23"/>
        <v>0</v>
      </c>
      <c r="AI36" s="426">
        <f t="shared" si="24"/>
        <v>0</v>
      </c>
      <c r="AJ36" s="426">
        <f t="shared" si="25"/>
        <v>0</v>
      </c>
      <c r="AK36" s="426">
        <f t="shared" si="26"/>
        <v>0</v>
      </c>
      <c r="AL36" s="426">
        <f t="shared" si="27"/>
        <v>0</v>
      </c>
      <c r="AM36" s="426">
        <f t="shared" si="28"/>
        <v>0</v>
      </c>
      <c r="AN36" s="426">
        <f t="shared" si="29"/>
        <v>0</v>
      </c>
      <c r="AO36" s="426">
        <f t="shared" si="30"/>
        <v>0</v>
      </c>
      <c r="AP36" s="426">
        <f t="shared" si="31"/>
        <v>0</v>
      </c>
      <c r="AQ36" s="426">
        <f t="shared" si="32"/>
        <v>0</v>
      </c>
      <c r="AR36" s="426">
        <f t="shared" si="33"/>
        <v>0</v>
      </c>
      <c r="AS36" s="426">
        <f t="shared" si="34"/>
        <v>0</v>
      </c>
      <c r="AT36" s="426">
        <f t="shared" si="35"/>
        <v>0</v>
      </c>
      <c r="AU36" s="426">
        <f t="shared" si="36"/>
        <v>0</v>
      </c>
      <c r="AV36" s="426">
        <f t="shared" si="37"/>
        <v>0</v>
      </c>
      <c r="AW36" s="426">
        <f t="shared" si="38"/>
        <v>0</v>
      </c>
    </row>
    <row r="37" spans="1:49" s="421" customFormat="1" ht="12.75" customHeight="1">
      <c r="A37" s="73">
        <f t="array" ref="A37">IF(C37&lt;&gt;0,SUM(($C$11:C37&lt;&gt;0)*1),"")</f>
        <v>27</v>
      </c>
      <c r="B37" s="422">
        <v>41717</v>
      </c>
      <c r="C37" s="316" t="s">
        <v>8</v>
      </c>
      <c r="D37" s="316">
        <v>41717</v>
      </c>
      <c r="E37" s="423" t="s">
        <v>28</v>
      </c>
      <c r="F37" s="75">
        <v>30000</v>
      </c>
      <c r="G37" s="425" t="s">
        <v>348</v>
      </c>
      <c r="H37" s="425" t="s">
        <v>34</v>
      </c>
      <c r="I37" s="73">
        <f>A37</f>
        <v>27</v>
      </c>
      <c r="J37" s="426">
        <f t="shared" si="1"/>
        <v>0</v>
      </c>
      <c r="K37" s="426">
        <f t="shared" si="2"/>
        <v>0</v>
      </c>
      <c r="L37" s="426">
        <f t="shared" si="3"/>
        <v>0</v>
      </c>
      <c r="M37" s="426">
        <f t="shared" si="4"/>
        <v>30000</v>
      </c>
      <c r="N37" s="426">
        <f t="shared" si="5"/>
        <v>0</v>
      </c>
      <c r="O37" s="426">
        <f t="shared" si="6"/>
        <v>0</v>
      </c>
      <c r="P37" s="426">
        <f t="shared" si="7"/>
        <v>0</v>
      </c>
      <c r="Q37" s="426">
        <f t="shared" si="8"/>
        <v>0</v>
      </c>
      <c r="R37" s="426">
        <f t="shared" si="39"/>
        <v>0</v>
      </c>
      <c r="S37" s="426">
        <f t="shared" si="40"/>
        <v>0</v>
      </c>
      <c r="T37" s="426">
        <f t="shared" si="9"/>
        <v>0</v>
      </c>
      <c r="U37" s="426">
        <f t="shared" si="10"/>
        <v>0</v>
      </c>
      <c r="V37" s="426">
        <f t="shared" si="11"/>
        <v>0</v>
      </c>
      <c r="W37" s="426">
        <f t="shared" si="12"/>
        <v>0</v>
      </c>
      <c r="X37" s="426">
        <f t="shared" si="13"/>
        <v>0</v>
      </c>
      <c r="Y37" s="426">
        <f t="shared" si="14"/>
        <v>0</v>
      </c>
      <c r="Z37" s="426">
        <f t="shared" si="15"/>
        <v>0</v>
      </c>
      <c r="AA37" s="426">
        <f t="shared" si="16"/>
        <v>0</v>
      </c>
      <c r="AB37" s="426">
        <f t="shared" si="17"/>
        <v>0</v>
      </c>
      <c r="AC37" s="426">
        <f t="shared" si="18"/>
        <v>0</v>
      </c>
      <c r="AD37" s="426">
        <f t="shared" si="19"/>
        <v>0</v>
      </c>
      <c r="AE37" s="426">
        <f t="shared" si="20"/>
        <v>0</v>
      </c>
      <c r="AF37" s="426">
        <f t="shared" si="21"/>
        <v>0</v>
      </c>
      <c r="AG37" s="426">
        <f t="shared" si="22"/>
        <v>0</v>
      </c>
      <c r="AH37" s="426">
        <f t="shared" si="23"/>
        <v>0</v>
      </c>
      <c r="AI37" s="426">
        <f t="shared" si="24"/>
        <v>0</v>
      </c>
      <c r="AJ37" s="426">
        <f t="shared" si="25"/>
        <v>0</v>
      </c>
      <c r="AK37" s="426">
        <f t="shared" si="26"/>
        <v>0</v>
      </c>
      <c r="AL37" s="426">
        <f t="shared" si="27"/>
        <v>0</v>
      </c>
      <c r="AM37" s="426">
        <f t="shared" si="28"/>
        <v>0</v>
      </c>
      <c r="AN37" s="426">
        <f t="shared" si="29"/>
        <v>0</v>
      </c>
      <c r="AO37" s="426">
        <f t="shared" si="30"/>
        <v>0</v>
      </c>
      <c r="AP37" s="426">
        <f t="shared" si="31"/>
        <v>0</v>
      </c>
      <c r="AQ37" s="426">
        <f t="shared" si="32"/>
        <v>0</v>
      </c>
      <c r="AR37" s="426">
        <f t="shared" si="33"/>
        <v>0</v>
      </c>
      <c r="AS37" s="426">
        <f t="shared" si="34"/>
        <v>0</v>
      </c>
      <c r="AT37" s="426">
        <f t="shared" si="35"/>
        <v>0</v>
      </c>
      <c r="AU37" s="426">
        <f t="shared" si="36"/>
        <v>0</v>
      </c>
      <c r="AV37" s="426">
        <f t="shared" si="37"/>
        <v>0</v>
      </c>
      <c r="AW37" s="426">
        <f t="shared" si="38"/>
        <v>0</v>
      </c>
    </row>
    <row r="38" spans="1:49" s="421" customFormat="1" ht="12.75" customHeight="1">
      <c r="A38" s="73">
        <f t="array" ref="A38">IF(C38&lt;&gt;0,SUM(($C$11:C38&lt;&gt;0)*1),"")</f>
        <v>28</v>
      </c>
      <c r="B38" s="422">
        <v>41717</v>
      </c>
      <c r="C38" s="316" t="s">
        <v>8</v>
      </c>
      <c r="D38" s="316">
        <v>41717</v>
      </c>
      <c r="E38" s="423" t="s">
        <v>345</v>
      </c>
      <c r="F38" s="75">
        <v>3000</v>
      </c>
      <c r="G38" s="425" t="s">
        <v>10</v>
      </c>
      <c r="H38" s="425" t="s">
        <v>34</v>
      </c>
      <c r="I38" s="73">
        <f>A38</f>
        <v>28</v>
      </c>
      <c r="J38" s="426">
        <f t="shared" si="1"/>
        <v>0</v>
      </c>
      <c r="K38" s="426">
        <f t="shared" si="2"/>
        <v>0</v>
      </c>
      <c r="L38" s="426">
        <f t="shared" si="3"/>
        <v>0</v>
      </c>
      <c r="M38" s="426">
        <f t="shared" si="4"/>
        <v>3000</v>
      </c>
      <c r="N38" s="426">
        <f t="shared" si="5"/>
        <v>3000</v>
      </c>
      <c r="O38" s="426">
        <f t="shared" si="6"/>
        <v>0</v>
      </c>
      <c r="P38" s="426">
        <f t="shared" si="7"/>
        <v>0</v>
      </c>
      <c r="Q38" s="426">
        <f t="shared" si="8"/>
        <v>0</v>
      </c>
      <c r="R38" s="426">
        <f t="shared" si="39"/>
        <v>0</v>
      </c>
      <c r="S38" s="426">
        <f t="shared" si="40"/>
        <v>0</v>
      </c>
      <c r="T38" s="426">
        <f t="shared" si="9"/>
        <v>0</v>
      </c>
      <c r="U38" s="426">
        <f t="shared" si="10"/>
        <v>0</v>
      </c>
      <c r="V38" s="426">
        <f t="shared" si="11"/>
        <v>0</v>
      </c>
      <c r="W38" s="426">
        <f t="shared" si="12"/>
        <v>0</v>
      </c>
      <c r="X38" s="426">
        <f t="shared" si="13"/>
        <v>0</v>
      </c>
      <c r="Y38" s="426">
        <f t="shared" si="14"/>
        <v>0</v>
      </c>
      <c r="Z38" s="426">
        <f t="shared" si="15"/>
        <v>0</v>
      </c>
      <c r="AA38" s="426">
        <f t="shared" si="16"/>
        <v>0</v>
      </c>
      <c r="AB38" s="426">
        <f t="shared" si="17"/>
        <v>0</v>
      </c>
      <c r="AC38" s="426">
        <f t="shared" si="18"/>
        <v>0</v>
      </c>
      <c r="AD38" s="426">
        <f t="shared" si="19"/>
        <v>0</v>
      </c>
      <c r="AE38" s="426">
        <f t="shared" si="20"/>
        <v>0</v>
      </c>
      <c r="AF38" s="426">
        <f t="shared" si="21"/>
        <v>0</v>
      </c>
      <c r="AG38" s="426">
        <f t="shared" si="22"/>
        <v>0</v>
      </c>
      <c r="AH38" s="426">
        <f t="shared" si="23"/>
        <v>0</v>
      </c>
      <c r="AI38" s="426">
        <f t="shared" si="24"/>
        <v>0</v>
      </c>
      <c r="AJ38" s="426">
        <f t="shared" si="25"/>
        <v>0</v>
      </c>
      <c r="AK38" s="426">
        <f t="shared" si="26"/>
        <v>0</v>
      </c>
      <c r="AL38" s="426">
        <f t="shared" si="27"/>
        <v>0</v>
      </c>
      <c r="AM38" s="426">
        <f t="shared" si="28"/>
        <v>0</v>
      </c>
      <c r="AN38" s="426">
        <f t="shared" si="29"/>
        <v>0</v>
      </c>
      <c r="AO38" s="426">
        <f t="shared" si="30"/>
        <v>0</v>
      </c>
      <c r="AP38" s="426">
        <f t="shared" si="31"/>
        <v>0</v>
      </c>
      <c r="AQ38" s="426">
        <f t="shared" si="32"/>
        <v>0</v>
      </c>
      <c r="AR38" s="426">
        <f t="shared" si="33"/>
        <v>0</v>
      </c>
      <c r="AS38" s="426">
        <f t="shared" si="34"/>
        <v>0</v>
      </c>
      <c r="AT38" s="426">
        <f t="shared" si="35"/>
        <v>0</v>
      </c>
      <c r="AU38" s="426">
        <f t="shared" si="36"/>
        <v>0</v>
      </c>
      <c r="AV38" s="426">
        <f t="shared" si="37"/>
        <v>0</v>
      </c>
      <c r="AW38" s="426">
        <f t="shared" si="38"/>
        <v>0</v>
      </c>
    </row>
    <row r="39" spans="1:49" s="421" customFormat="1" ht="12.75" customHeight="1">
      <c r="A39" s="73">
        <f t="array" ref="A39">IF(C39&lt;&gt;0,SUM(($C$11:C39&lt;&gt;0)*1),"")</f>
        <v>29</v>
      </c>
      <c r="B39" s="422">
        <v>41717</v>
      </c>
      <c r="C39" s="316" t="s">
        <v>8</v>
      </c>
      <c r="D39" s="316">
        <v>41717</v>
      </c>
      <c r="E39" s="423" t="s">
        <v>346</v>
      </c>
      <c r="F39" s="75">
        <v>30000</v>
      </c>
      <c r="G39" s="425" t="s">
        <v>348</v>
      </c>
      <c r="H39" s="425" t="s">
        <v>34</v>
      </c>
      <c r="I39" s="73">
        <f t="shared" ref="I39:I50" si="41">A39</f>
        <v>29</v>
      </c>
      <c r="J39" s="426">
        <f t="shared" si="1"/>
        <v>0</v>
      </c>
      <c r="K39" s="426">
        <f t="shared" si="2"/>
        <v>0</v>
      </c>
      <c r="L39" s="426">
        <f t="shared" si="3"/>
        <v>0</v>
      </c>
      <c r="M39" s="426">
        <f t="shared" si="4"/>
        <v>30000</v>
      </c>
      <c r="N39" s="426">
        <f t="shared" si="5"/>
        <v>0</v>
      </c>
      <c r="O39" s="426">
        <f t="shared" si="6"/>
        <v>0</v>
      </c>
      <c r="P39" s="426">
        <f t="shared" si="7"/>
        <v>0</v>
      </c>
      <c r="Q39" s="426">
        <f t="shared" si="8"/>
        <v>0</v>
      </c>
      <c r="R39" s="426">
        <f t="shared" si="39"/>
        <v>0</v>
      </c>
      <c r="S39" s="426">
        <f t="shared" si="40"/>
        <v>0</v>
      </c>
      <c r="T39" s="426">
        <f t="shared" si="9"/>
        <v>0</v>
      </c>
      <c r="U39" s="426">
        <f t="shared" si="10"/>
        <v>0</v>
      </c>
      <c r="V39" s="426">
        <f t="shared" si="11"/>
        <v>0</v>
      </c>
      <c r="W39" s="426">
        <f t="shared" si="12"/>
        <v>0</v>
      </c>
      <c r="X39" s="426">
        <f t="shared" si="13"/>
        <v>0</v>
      </c>
      <c r="Y39" s="426">
        <f t="shared" si="14"/>
        <v>0</v>
      </c>
      <c r="Z39" s="426">
        <f t="shared" si="15"/>
        <v>0</v>
      </c>
      <c r="AA39" s="426">
        <f t="shared" si="16"/>
        <v>0</v>
      </c>
      <c r="AB39" s="426">
        <f t="shared" si="17"/>
        <v>0</v>
      </c>
      <c r="AC39" s="426">
        <f t="shared" si="18"/>
        <v>0</v>
      </c>
      <c r="AD39" s="426">
        <f t="shared" si="19"/>
        <v>0</v>
      </c>
      <c r="AE39" s="426">
        <f t="shared" si="20"/>
        <v>0</v>
      </c>
      <c r="AF39" s="426">
        <f t="shared" si="21"/>
        <v>0</v>
      </c>
      <c r="AG39" s="426">
        <f t="shared" si="22"/>
        <v>0</v>
      </c>
      <c r="AH39" s="426">
        <f t="shared" si="23"/>
        <v>0</v>
      </c>
      <c r="AI39" s="426">
        <f t="shared" si="24"/>
        <v>0</v>
      </c>
      <c r="AJ39" s="426">
        <f t="shared" si="25"/>
        <v>0</v>
      </c>
      <c r="AK39" s="426">
        <f t="shared" si="26"/>
        <v>0</v>
      </c>
      <c r="AL39" s="426">
        <f t="shared" si="27"/>
        <v>0</v>
      </c>
      <c r="AM39" s="426">
        <f t="shared" si="28"/>
        <v>0</v>
      </c>
      <c r="AN39" s="426">
        <f t="shared" si="29"/>
        <v>0</v>
      </c>
      <c r="AO39" s="426">
        <f t="shared" si="30"/>
        <v>0</v>
      </c>
      <c r="AP39" s="426">
        <f t="shared" si="31"/>
        <v>0</v>
      </c>
      <c r="AQ39" s="426">
        <f t="shared" si="32"/>
        <v>0</v>
      </c>
      <c r="AR39" s="426">
        <f t="shared" si="33"/>
        <v>0</v>
      </c>
      <c r="AS39" s="426">
        <f t="shared" si="34"/>
        <v>0</v>
      </c>
      <c r="AT39" s="426">
        <f t="shared" si="35"/>
        <v>0</v>
      </c>
      <c r="AU39" s="426">
        <f t="shared" si="36"/>
        <v>0</v>
      </c>
      <c r="AV39" s="426">
        <f t="shared" si="37"/>
        <v>0</v>
      </c>
      <c r="AW39" s="426">
        <f t="shared" si="38"/>
        <v>0</v>
      </c>
    </row>
    <row r="40" spans="1:49" s="421" customFormat="1" ht="12.75" customHeight="1">
      <c r="A40" s="73">
        <f t="array" ref="A40">IF(C40&lt;&gt;0,SUM(($C$11:C40&lt;&gt;0)*1),"")</f>
        <v>30</v>
      </c>
      <c r="B40" s="422">
        <v>41717</v>
      </c>
      <c r="C40" s="316" t="s">
        <v>8</v>
      </c>
      <c r="D40" s="316">
        <v>41717</v>
      </c>
      <c r="E40" s="423" t="s">
        <v>345</v>
      </c>
      <c r="F40" s="75">
        <v>3000</v>
      </c>
      <c r="G40" s="425" t="s">
        <v>10</v>
      </c>
      <c r="H40" s="425" t="s">
        <v>34</v>
      </c>
      <c r="I40" s="73">
        <f t="shared" si="41"/>
        <v>30</v>
      </c>
      <c r="J40" s="426">
        <f t="shared" si="1"/>
        <v>0</v>
      </c>
      <c r="K40" s="426">
        <f t="shared" si="2"/>
        <v>0</v>
      </c>
      <c r="L40" s="426">
        <f t="shared" si="3"/>
        <v>0</v>
      </c>
      <c r="M40" s="426">
        <f t="shared" si="4"/>
        <v>3000</v>
      </c>
      <c r="N40" s="426">
        <f t="shared" si="5"/>
        <v>3000</v>
      </c>
      <c r="O40" s="426">
        <f t="shared" si="6"/>
        <v>0</v>
      </c>
      <c r="P40" s="426">
        <f t="shared" si="7"/>
        <v>0</v>
      </c>
      <c r="Q40" s="426">
        <f t="shared" si="8"/>
        <v>0</v>
      </c>
      <c r="R40" s="426">
        <f t="shared" si="39"/>
        <v>0</v>
      </c>
      <c r="S40" s="426">
        <f t="shared" si="40"/>
        <v>0</v>
      </c>
      <c r="T40" s="426">
        <f t="shared" si="9"/>
        <v>0</v>
      </c>
      <c r="U40" s="426">
        <f t="shared" si="10"/>
        <v>0</v>
      </c>
      <c r="V40" s="426">
        <f t="shared" si="11"/>
        <v>0</v>
      </c>
      <c r="W40" s="426">
        <f t="shared" si="12"/>
        <v>0</v>
      </c>
      <c r="X40" s="426">
        <f t="shared" si="13"/>
        <v>0</v>
      </c>
      <c r="Y40" s="426">
        <f t="shared" si="14"/>
        <v>0</v>
      </c>
      <c r="Z40" s="426">
        <f t="shared" si="15"/>
        <v>0</v>
      </c>
      <c r="AA40" s="426">
        <f t="shared" si="16"/>
        <v>0</v>
      </c>
      <c r="AB40" s="426">
        <f t="shared" si="17"/>
        <v>0</v>
      </c>
      <c r="AC40" s="426">
        <f t="shared" si="18"/>
        <v>0</v>
      </c>
      <c r="AD40" s="426">
        <f t="shared" si="19"/>
        <v>0</v>
      </c>
      <c r="AE40" s="426">
        <f t="shared" si="20"/>
        <v>0</v>
      </c>
      <c r="AF40" s="426">
        <f t="shared" si="21"/>
        <v>0</v>
      </c>
      <c r="AG40" s="426">
        <f t="shared" si="22"/>
        <v>0</v>
      </c>
      <c r="AH40" s="426">
        <f t="shared" si="23"/>
        <v>0</v>
      </c>
      <c r="AI40" s="426">
        <f t="shared" si="24"/>
        <v>0</v>
      </c>
      <c r="AJ40" s="426">
        <f t="shared" si="25"/>
        <v>0</v>
      </c>
      <c r="AK40" s="426">
        <f t="shared" si="26"/>
        <v>0</v>
      </c>
      <c r="AL40" s="426">
        <f t="shared" si="27"/>
        <v>0</v>
      </c>
      <c r="AM40" s="426">
        <f t="shared" si="28"/>
        <v>0</v>
      </c>
      <c r="AN40" s="426">
        <f t="shared" si="29"/>
        <v>0</v>
      </c>
      <c r="AO40" s="426">
        <f t="shared" si="30"/>
        <v>0</v>
      </c>
      <c r="AP40" s="426">
        <f t="shared" si="31"/>
        <v>0</v>
      </c>
      <c r="AQ40" s="426">
        <f t="shared" si="32"/>
        <v>0</v>
      </c>
      <c r="AR40" s="426">
        <f t="shared" si="33"/>
        <v>0</v>
      </c>
      <c r="AS40" s="426">
        <f t="shared" si="34"/>
        <v>0</v>
      </c>
      <c r="AT40" s="426">
        <f t="shared" si="35"/>
        <v>0</v>
      </c>
      <c r="AU40" s="426">
        <f t="shared" si="36"/>
        <v>0</v>
      </c>
      <c r="AV40" s="426">
        <f t="shared" si="37"/>
        <v>0</v>
      </c>
      <c r="AW40" s="426">
        <f t="shared" si="38"/>
        <v>0</v>
      </c>
    </row>
    <row r="41" spans="1:49" s="421" customFormat="1" ht="12.75" customHeight="1">
      <c r="A41" s="73">
        <f t="array" ref="A41">IF(C41&lt;&gt;0,SUM(($C$11:C41&lt;&gt;0)*1),"")</f>
        <v>31</v>
      </c>
      <c r="B41" s="422">
        <v>41717</v>
      </c>
      <c r="C41" s="316" t="s">
        <v>8</v>
      </c>
      <c r="D41" s="316">
        <v>41717</v>
      </c>
      <c r="E41" s="423" t="s">
        <v>29</v>
      </c>
      <c r="F41" s="75">
        <v>30000</v>
      </c>
      <c r="G41" s="425" t="s">
        <v>348</v>
      </c>
      <c r="H41" s="425" t="s">
        <v>34</v>
      </c>
      <c r="I41" s="73">
        <f t="shared" si="41"/>
        <v>31</v>
      </c>
      <c r="J41" s="426">
        <f t="shared" si="1"/>
        <v>0</v>
      </c>
      <c r="K41" s="426">
        <f t="shared" si="2"/>
        <v>0</v>
      </c>
      <c r="L41" s="426">
        <f t="shared" si="3"/>
        <v>0</v>
      </c>
      <c r="M41" s="426">
        <f t="shared" si="4"/>
        <v>30000</v>
      </c>
      <c r="N41" s="426">
        <f t="shared" si="5"/>
        <v>0</v>
      </c>
      <c r="O41" s="426">
        <f t="shared" si="6"/>
        <v>0</v>
      </c>
      <c r="P41" s="426">
        <f t="shared" si="7"/>
        <v>0</v>
      </c>
      <c r="Q41" s="426">
        <f t="shared" si="8"/>
        <v>0</v>
      </c>
      <c r="R41" s="426">
        <f t="shared" si="39"/>
        <v>0</v>
      </c>
      <c r="S41" s="426">
        <f t="shared" si="40"/>
        <v>0</v>
      </c>
      <c r="T41" s="426">
        <f t="shared" si="9"/>
        <v>0</v>
      </c>
      <c r="U41" s="426">
        <f t="shared" si="10"/>
        <v>0</v>
      </c>
      <c r="V41" s="426">
        <f t="shared" si="11"/>
        <v>0</v>
      </c>
      <c r="W41" s="426">
        <f t="shared" si="12"/>
        <v>0</v>
      </c>
      <c r="X41" s="426">
        <f t="shared" si="13"/>
        <v>0</v>
      </c>
      <c r="Y41" s="426">
        <f t="shared" si="14"/>
        <v>0</v>
      </c>
      <c r="Z41" s="426">
        <f t="shared" si="15"/>
        <v>0</v>
      </c>
      <c r="AA41" s="426">
        <f t="shared" si="16"/>
        <v>0</v>
      </c>
      <c r="AB41" s="426">
        <f t="shared" si="17"/>
        <v>0</v>
      </c>
      <c r="AC41" s="426">
        <f t="shared" si="18"/>
        <v>0</v>
      </c>
      <c r="AD41" s="426">
        <f t="shared" si="19"/>
        <v>0</v>
      </c>
      <c r="AE41" s="426">
        <f t="shared" si="20"/>
        <v>0</v>
      </c>
      <c r="AF41" s="426">
        <f t="shared" si="21"/>
        <v>0</v>
      </c>
      <c r="AG41" s="426">
        <f t="shared" si="22"/>
        <v>0</v>
      </c>
      <c r="AH41" s="426">
        <f t="shared" si="23"/>
        <v>0</v>
      </c>
      <c r="AI41" s="426">
        <f t="shared" si="24"/>
        <v>0</v>
      </c>
      <c r="AJ41" s="426">
        <f t="shared" si="25"/>
        <v>0</v>
      </c>
      <c r="AK41" s="426">
        <f t="shared" si="26"/>
        <v>0</v>
      </c>
      <c r="AL41" s="426">
        <f t="shared" si="27"/>
        <v>0</v>
      </c>
      <c r="AM41" s="426">
        <f t="shared" si="28"/>
        <v>0</v>
      </c>
      <c r="AN41" s="426">
        <f t="shared" si="29"/>
        <v>0</v>
      </c>
      <c r="AO41" s="426">
        <f t="shared" si="30"/>
        <v>0</v>
      </c>
      <c r="AP41" s="426">
        <f t="shared" si="31"/>
        <v>0</v>
      </c>
      <c r="AQ41" s="426">
        <f t="shared" si="32"/>
        <v>0</v>
      </c>
      <c r="AR41" s="426">
        <f t="shared" si="33"/>
        <v>0</v>
      </c>
      <c r="AS41" s="426">
        <f t="shared" si="34"/>
        <v>0</v>
      </c>
      <c r="AT41" s="426">
        <f t="shared" si="35"/>
        <v>0</v>
      </c>
      <c r="AU41" s="426">
        <f t="shared" si="36"/>
        <v>0</v>
      </c>
      <c r="AV41" s="426">
        <f t="shared" si="37"/>
        <v>0</v>
      </c>
      <c r="AW41" s="426">
        <f t="shared" si="38"/>
        <v>0</v>
      </c>
    </row>
    <row r="42" spans="1:49" s="421" customFormat="1" ht="12.75" customHeight="1">
      <c r="A42" s="73">
        <f t="array" ref="A42">IF(C42&lt;&gt;0,SUM(($C$11:C42&lt;&gt;0)*1),"")</f>
        <v>32</v>
      </c>
      <c r="B42" s="422">
        <v>41717</v>
      </c>
      <c r="C42" s="316" t="s">
        <v>8</v>
      </c>
      <c r="D42" s="316">
        <v>41717</v>
      </c>
      <c r="E42" s="423" t="s">
        <v>345</v>
      </c>
      <c r="F42" s="75">
        <v>3000</v>
      </c>
      <c r="G42" s="425" t="s">
        <v>10</v>
      </c>
      <c r="H42" s="425" t="s">
        <v>34</v>
      </c>
      <c r="I42" s="73">
        <f t="shared" si="41"/>
        <v>32</v>
      </c>
      <c r="J42" s="426">
        <f t="shared" si="1"/>
        <v>0</v>
      </c>
      <c r="K42" s="426">
        <f t="shared" si="2"/>
        <v>0</v>
      </c>
      <c r="L42" s="426">
        <f t="shared" si="3"/>
        <v>0</v>
      </c>
      <c r="M42" s="426">
        <f t="shared" si="4"/>
        <v>3000</v>
      </c>
      <c r="N42" s="426">
        <f t="shared" si="5"/>
        <v>3000</v>
      </c>
      <c r="O42" s="426">
        <f t="shared" si="6"/>
        <v>0</v>
      </c>
      <c r="P42" s="426">
        <f t="shared" si="7"/>
        <v>0</v>
      </c>
      <c r="Q42" s="426">
        <f t="shared" si="8"/>
        <v>0</v>
      </c>
      <c r="R42" s="426">
        <f t="shared" si="39"/>
        <v>0</v>
      </c>
      <c r="S42" s="426">
        <f t="shared" si="40"/>
        <v>0</v>
      </c>
      <c r="T42" s="426">
        <f t="shared" si="9"/>
        <v>0</v>
      </c>
      <c r="U42" s="426">
        <f t="shared" si="10"/>
        <v>0</v>
      </c>
      <c r="V42" s="426">
        <f t="shared" si="11"/>
        <v>0</v>
      </c>
      <c r="W42" s="426">
        <f t="shared" si="12"/>
        <v>0</v>
      </c>
      <c r="X42" s="426">
        <f t="shared" si="13"/>
        <v>0</v>
      </c>
      <c r="Y42" s="426">
        <f t="shared" si="14"/>
        <v>0</v>
      </c>
      <c r="Z42" s="426">
        <f t="shared" si="15"/>
        <v>0</v>
      </c>
      <c r="AA42" s="426">
        <f t="shared" si="16"/>
        <v>0</v>
      </c>
      <c r="AB42" s="426">
        <f t="shared" si="17"/>
        <v>0</v>
      </c>
      <c r="AC42" s="426">
        <f t="shared" si="18"/>
        <v>0</v>
      </c>
      <c r="AD42" s="426">
        <f t="shared" si="19"/>
        <v>0</v>
      </c>
      <c r="AE42" s="426">
        <f t="shared" si="20"/>
        <v>0</v>
      </c>
      <c r="AF42" s="426">
        <f t="shared" si="21"/>
        <v>0</v>
      </c>
      <c r="AG42" s="426">
        <f t="shared" si="22"/>
        <v>0</v>
      </c>
      <c r="AH42" s="426">
        <f t="shared" si="23"/>
        <v>0</v>
      </c>
      <c r="AI42" s="426">
        <f t="shared" si="24"/>
        <v>0</v>
      </c>
      <c r="AJ42" s="426">
        <f t="shared" si="25"/>
        <v>0</v>
      </c>
      <c r="AK42" s="426">
        <f t="shared" si="26"/>
        <v>0</v>
      </c>
      <c r="AL42" s="426">
        <f t="shared" si="27"/>
        <v>0</v>
      </c>
      <c r="AM42" s="426">
        <f t="shared" si="28"/>
        <v>0</v>
      </c>
      <c r="AN42" s="426">
        <f t="shared" si="29"/>
        <v>0</v>
      </c>
      <c r="AO42" s="426">
        <f t="shared" si="30"/>
        <v>0</v>
      </c>
      <c r="AP42" s="426">
        <f t="shared" si="31"/>
        <v>0</v>
      </c>
      <c r="AQ42" s="426">
        <f t="shared" si="32"/>
        <v>0</v>
      </c>
      <c r="AR42" s="426">
        <f t="shared" si="33"/>
        <v>0</v>
      </c>
      <c r="AS42" s="426">
        <f t="shared" si="34"/>
        <v>0</v>
      </c>
      <c r="AT42" s="426">
        <f t="shared" si="35"/>
        <v>0</v>
      </c>
      <c r="AU42" s="426">
        <f t="shared" si="36"/>
        <v>0</v>
      </c>
      <c r="AV42" s="426">
        <f t="shared" si="37"/>
        <v>0</v>
      </c>
      <c r="AW42" s="426">
        <f t="shared" si="38"/>
        <v>0</v>
      </c>
    </row>
    <row r="43" spans="1:49" s="421" customFormat="1" ht="12.75" customHeight="1">
      <c r="A43" s="73">
        <f t="array" ref="A43">IF(C43&lt;&gt;0,SUM(($C$11:C43&lt;&gt;0)*1),"")</f>
        <v>33</v>
      </c>
      <c r="B43" s="422">
        <v>41718</v>
      </c>
      <c r="C43" s="316" t="s">
        <v>43</v>
      </c>
      <c r="D43" s="316">
        <v>41718</v>
      </c>
      <c r="E43" s="423" t="s">
        <v>342</v>
      </c>
      <c r="F43" s="75">
        <v>133200000</v>
      </c>
      <c r="G43" s="425" t="s">
        <v>34</v>
      </c>
      <c r="H43" s="425" t="s">
        <v>120</v>
      </c>
      <c r="I43" s="73">
        <f t="shared" si="41"/>
        <v>33</v>
      </c>
      <c r="J43" s="426">
        <f t="shared" si="1"/>
        <v>0</v>
      </c>
      <c r="K43" s="426">
        <f t="shared" si="2"/>
        <v>133200000</v>
      </c>
      <c r="L43" s="426">
        <f t="shared" si="3"/>
        <v>133200000</v>
      </c>
      <c r="M43" s="426">
        <f t="shared" si="4"/>
        <v>0</v>
      </c>
      <c r="N43" s="426">
        <f t="shared" si="5"/>
        <v>0</v>
      </c>
      <c r="O43" s="426">
        <f t="shared" si="6"/>
        <v>0</v>
      </c>
      <c r="P43" s="426">
        <f t="shared" si="7"/>
        <v>0</v>
      </c>
      <c r="Q43" s="426">
        <f t="shared" si="8"/>
        <v>0</v>
      </c>
      <c r="R43" s="426">
        <f t="shared" si="39"/>
        <v>0</v>
      </c>
      <c r="S43" s="426">
        <f t="shared" si="40"/>
        <v>0</v>
      </c>
      <c r="T43" s="426">
        <f t="shared" si="9"/>
        <v>0</v>
      </c>
      <c r="U43" s="426">
        <f t="shared" si="10"/>
        <v>0</v>
      </c>
      <c r="V43" s="426">
        <f t="shared" si="11"/>
        <v>0</v>
      </c>
      <c r="W43" s="426">
        <f t="shared" si="12"/>
        <v>0</v>
      </c>
      <c r="X43" s="426">
        <f t="shared" si="13"/>
        <v>0</v>
      </c>
      <c r="Y43" s="426">
        <f t="shared" si="14"/>
        <v>0</v>
      </c>
      <c r="Z43" s="426">
        <f t="shared" si="15"/>
        <v>0</v>
      </c>
      <c r="AA43" s="426">
        <f t="shared" si="16"/>
        <v>0</v>
      </c>
      <c r="AB43" s="426">
        <f t="shared" si="17"/>
        <v>0</v>
      </c>
      <c r="AC43" s="426">
        <f t="shared" si="18"/>
        <v>0</v>
      </c>
      <c r="AD43" s="426">
        <f t="shared" si="19"/>
        <v>0</v>
      </c>
      <c r="AE43" s="426">
        <f t="shared" si="20"/>
        <v>0</v>
      </c>
      <c r="AF43" s="426">
        <f t="shared" si="21"/>
        <v>0</v>
      </c>
      <c r="AG43" s="426">
        <f t="shared" si="22"/>
        <v>0</v>
      </c>
      <c r="AH43" s="426">
        <f t="shared" si="23"/>
        <v>0</v>
      </c>
      <c r="AI43" s="426">
        <f t="shared" si="24"/>
        <v>0</v>
      </c>
      <c r="AJ43" s="426">
        <f t="shared" si="25"/>
        <v>0</v>
      </c>
      <c r="AK43" s="426">
        <f t="shared" si="26"/>
        <v>0</v>
      </c>
      <c r="AL43" s="426">
        <f t="shared" si="27"/>
        <v>0</v>
      </c>
      <c r="AM43" s="426">
        <f t="shared" si="28"/>
        <v>0</v>
      </c>
      <c r="AN43" s="426">
        <f t="shared" si="29"/>
        <v>0</v>
      </c>
      <c r="AO43" s="426">
        <f t="shared" si="30"/>
        <v>0</v>
      </c>
      <c r="AP43" s="426">
        <f t="shared" si="31"/>
        <v>0</v>
      </c>
      <c r="AQ43" s="426">
        <f t="shared" si="32"/>
        <v>0</v>
      </c>
      <c r="AR43" s="426">
        <f t="shared" si="33"/>
        <v>0</v>
      </c>
      <c r="AS43" s="426">
        <f t="shared" si="34"/>
        <v>0</v>
      </c>
      <c r="AT43" s="426">
        <f t="shared" si="35"/>
        <v>0</v>
      </c>
      <c r="AU43" s="426">
        <f t="shared" si="36"/>
        <v>0</v>
      </c>
      <c r="AV43" s="426">
        <f t="shared" si="37"/>
        <v>0</v>
      </c>
      <c r="AW43" s="426">
        <f t="shared" si="38"/>
        <v>0</v>
      </c>
    </row>
    <row r="44" spans="1:49" s="421" customFormat="1" ht="12.75" customHeight="1">
      <c r="A44" s="73">
        <f t="array" ref="A44">IF(C44&lt;&gt;0,SUM(($C$11:C44&lt;&gt;0)*1),"")</f>
        <v>34</v>
      </c>
      <c r="B44" s="422">
        <v>41718</v>
      </c>
      <c r="C44" s="316" t="s">
        <v>8</v>
      </c>
      <c r="D44" s="316">
        <v>41718</v>
      </c>
      <c r="E44" s="423" t="s">
        <v>344</v>
      </c>
      <c r="F44" s="75">
        <v>133147080</v>
      </c>
      <c r="G44" s="425" t="s">
        <v>9</v>
      </c>
      <c r="H44" s="425" t="s">
        <v>34</v>
      </c>
      <c r="I44" s="73">
        <f t="shared" si="41"/>
        <v>34</v>
      </c>
      <c r="J44" s="426">
        <f t="shared" si="1"/>
        <v>0</v>
      </c>
      <c r="K44" s="426">
        <f t="shared" si="2"/>
        <v>0</v>
      </c>
      <c r="L44" s="426">
        <f t="shared" si="3"/>
        <v>0</v>
      </c>
      <c r="M44" s="426">
        <f t="shared" si="4"/>
        <v>133147080</v>
      </c>
      <c r="N44" s="426">
        <f t="shared" si="5"/>
        <v>0</v>
      </c>
      <c r="O44" s="426">
        <f t="shared" si="6"/>
        <v>0</v>
      </c>
      <c r="P44" s="426">
        <f t="shared" si="7"/>
        <v>0</v>
      </c>
      <c r="Q44" s="426">
        <f t="shared" si="8"/>
        <v>0</v>
      </c>
      <c r="R44" s="426">
        <f t="shared" si="39"/>
        <v>0</v>
      </c>
      <c r="S44" s="426">
        <f t="shared" si="40"/>
        <v>0</v>
      </c>
      <c r="T44" s="426">
        <f t="shared" si="9"/>
        <v>133147080</v>
      </c>
      <c r="U44" s="426">
        <f t="shared" si="10"/>
        <v>0</v>
      </c>
      <c r="V44" s="426">
        <f t="shared" si="11"/>
        <v>0</v>
      </c>
      <c r="W44" s="426">
        <f t="shared" si="12"/>
        <v>0</v>
      </c>
      <c r="X44" s="426">
        <f t="shared" si="13"/>
        <v>0</v>
      </c>
      <c r="Y44" s="426">
        <f t="shared" si="14"/>
        <v>0</v>
      </c>
      <c r="Z44" s="426">
        <f t="shared" si="15"/>
        <v>0</v>
      </c>
      <c r="AA44" s="426">
        <f t="shared" si="16"/>
        <v>0</v>
      </c>
      <c r="AB44" s="426">
        <f t="shared" si="17"/>
        <v>0</v>
      </c>
      <c r="AC44" s="426">
        <f t="shared" si="18"/>
        <v>0</v>
      </c>
      <c r="AD44" s="426">
        <f t="shared" si="19"/>
        <v>0</v>
      </c>
      <c r="AE44" s="426">
        <f t="shared" si="20"/>
        <v>0</v>
      </c>
      <c r="AF44" s="426">
        <f t="shared" si="21"/>
        <v>0</v>
      </c>
      <c r="AG44" s="426">
        <f t="shared" si="22"/>
        <v>0</v>
      </c>
      <c r="AH44" s="426">
        <f t="shared" si="23"/>
        <v>0</v>
      </c>
      <c r="AI44" s="426">
        <f t="shared" si="24"/>
        <v>0</v>
      </c>
      <c r="AJ44" s="426">
        <f t="shared" si="25"/>
        <v>0</v>
      </c>
      <c r="AK44" s="426">
        <f t="shared" si="26"/>
        <v>0</v>
      </c>
      <c r="AL44" s="426">
        <f t="shared" si="27"/>
        <v>0</v>
      </c>
      <c r="AM44" s="426">
        <f t="shared" si="28"/>
        <v>0</v>
      </c>
      <c r="AN44" s="426">
        <f t="shared" si="29"/>
        <v>0</v>
      </c>
      <c r="AO44" s="426">
        <f t="shared" si="30"/>
        <v>0</v>
      </c>
      <c r="AP44" s="426">
        <f t="shared" si="31"/>
        <v>0</v>
      </c>
      <c r="AQ44" s="426">
        <f t="shared" si="32"/>
        <v>0</v>
      </c>
      <c r="AR44" s="426">
        <f t="shared" si="33"/>
        <v>0</v>
      </c>
      <c r="AS44" s="426">
        <f t="shared" si="34"/>
        <v>0</v>
      </c>
      <c r="AT44" s="426">
        <f t="shared" si="35"/>
        <v>0</v>
      </c>
      <c r="AU44" s="426">
        <f t="shared" si="36"/>
        <v>0</v>
      </c>
      <c r="AV44" s="426">
        <f t="shared" si="37"/>
        <v>0</v>
      </c>
      <c r="AW44" s="426">
        <f t="shared" si="38"/>
        <v>0</v>
      </c>
    </row>
    <row r="45" spans="1:49" s="421" customFormat="1" ht="12.75" customHeight="1">
      <c r="A45" s="73">
        <f t="array" ref="A45">IF(C45&lt;&gt;0,SUM(($C$11:C45&lt;&gt;0)*1),"")</f>
        <v>35</v>
      </c>
      <c r="B45" s="422">
        <v>41718</v>
      </c>
      <c r="C45" s="316" t="s">
        <v>8</v>
      </c>
      <c r="D45" s="316">
        <v>41718</v>
      </c>
      <c r="E45" s="423" t="s">
        <v>21</v>
      </c>
      <c r="F45" s="75">
        <v>52911</v>
      </c>
      <c r="G45" s="425" t="s">
        <v>348</v>
      </c>
      <c r="H45" s="425" t="s">
        <v>34</v>
      </c>
      <c r="I45" s="73">
        <f t="shared" si="41"/>
        <v>35</v>
      </c>
      <c r="J45" s="426">
        <f t="shared" si="1"/>
        <v>0</v>
      </c>
      <c r="K45" s="426">
        <f t="shared" si="2"/>
        <v>0</v>
      </c>
      <c r="L45" s="426">
        <f t="shared" si="3"/>
        <v>0</v>
      </c>
      <c r="M45" s="426">
        <f t="shared" si="4"/>
        <v>52911</v>
      </c>
      <c r="N45" s="426">
        <f t="shared" si="5"/>
        <v>0</v>
      </c>
      <c r="O45" s="426">
        <f t="shared" si="6"/>
        <v>0</v>
      </c>
      <c r="P45" s="426">
        <f t="shared" si="7"/>
        <v>0</v>
      </c>
      <c r="Q45" s="426">
        <f t="shared" si="8"/>
        <v>0</v>
      </c>
      <c r="R45" s="426">
        <f t="shared" si="39"/>
        <v>0</v>
      </c>
      <c r="S45" s="426">
        <f t="shared" si="40"/>
        <v>0</v>
      </c>
      <c r="T45" s="426">
        <f t="shared" si="9"/>
        <v>0</v>
      </c>
      <c r="U45" s="426">
        <f t="shared" si="10"/>
        <v>0</v>
      </c>
      <c r="V45" s="426">
        <f t="shared" si="11"/>
        <v>0</v>
      </c>
      <c r="W45" s="426">
        <f t="shared" si="12"/>
        <v>0</v>
      </c>
      <c r="X45" s="426">
        <f t="shared" si="13"/>
        <v>0</v>
      </c>
      <c r="Y45" s="426">
        <f t="shared" si="14"/>
        <v>0</v>
      </c>
      <c r="Z45" s="426">
        <f t="shared" si="15"/>
        <v>0</v>
      </c>
      <c r="AA45" s="426">
        <f t="shared" si="16"/>
        <v>0</v>
      </c>
      <c r="AB45" s="426">
        <f t="shared" si="17"/>
        <v>0</v>
      </c>
      <c r="AC45" s="426">
        <f t="shared" si="18"/>
        <v>0</v>
      </c>
      <c r="AD45" s="426">
        <f t="shared" si="19"/>
        <v>0</v>
      </c>
      <c r="AE45" s="426">
        <f t="shared" si="20"/>
        <v>0</v>
      </c>
      <c r="AF45" s="426">
        <f t="shared" si="21"/>
        <v>0</v>
      </c>
      <c r="AG45" s="426">
        <f t="shared" si="22"/>
        <v>0</v>
      </c>
      <c r="AH45" s="426">
        <f t="shared" si="23"/>
        <v>0</v>
      </c>
      <c r="AI45" s="426">
        <f t="shared" si="24"/>
        <v>0</v>
      </c>
      <c r="AJ45" s="426">
        <f t="shared" si="25"/>
        <v>0</v>
      </c>
      <c r="AK45" s="426">
        <f t="shared" si="26"/>
        <v>0</v>
      </c>
      <c r="AL45" s="426">
        <f t="shared" si="27"/>
        <v>0</v>
      </c>
      <c r="AM45" s="426">
        <f t="shared" si="28"/>
        <v>0</v>
      </c>
      <c r="AN45" s="426">
        <f t="shared" si="29"/>
        <v>0</v>
      </c>
      <c r="AO45" s="426">
        <f t="shared" si="30"/>
        <v>0</v>
      </c>
      <c r="AP45" s="426">
        <f t="shared" si="31"/>
        <v>0</v>
      </c>
      <c r="AQ45" s="426">
        <f t="shared" si="32"/>
        <v>0</v>
      </c>
      <c r="AR45" s="426">
        <f t="shared" si="33"/>
        <v>0</v>
      </c>
      <c r="AS45" s="426">
        <f t="shared" si="34"/>
        <v>0</v>
      </c>
      <c r="AT45" s="426">
        <f t="shared" si="35"/>
        <v>0</v>
      </c>
      <c r="AU45" s="426">
        <f t="shared" si="36"/>
        <v>0</v>
      </c>
      <c r="AV45" s="426">
        <f t="shared" si="37"/>
        <v>0</v>
      </c>
      <c r="AW45" s="426">
        <f t="shared" si="38"/>
        <v>0</v>
      </c>
    </row>
    <row r="46" spans="1:49" s="421" customFormat="1" ht="12.75" customHeight="1">
      <c r="A46" s="73">
        <f t="array" ref="A46">IF(C46&lt;&gt;0,SUM(($C$11:C46&lt;&gt;0)*1),"")</f>
        <v>36</v>
      </c>
      <c r="B46" s="422">
        <v>41718</v>
      </c>
      <c r="C46" s="316" t="s">
        <v>8</v>
      </c>
      <c r="D46" s="316">
        <v>41718</v>
      </c>
      <c r="E46" s="423" t="s">
        <v>335</v>
      </c>
      <c r="F46" s="75">
        <v>5291</v>
      </c>
      <c r="G46" s="425" t="s">
        <v>10</v>
      </c>
      <c r="H46" s="425" t="s">
        <v>34</v>
      </c>
      <c r="I46" s="73">
        <f t="shared" si="41"/>
        <v>36</v>
      </c>
      <c r="J46" s="426">
        <f t="shared" si="1"/>
        <v>0</v>
      </c>
      <c r="K46" s="426">
        <f t="shared" si="2"/>
        <v>0</v>
      </c>
      <c r="L46" s="426">
        <f t="shared" si="3"/>
        <v>0</v>
      </c>
      <c r="M46" s="426">
        <f t="shared" si="4"/>
        <v>5291</v>
      </c>
      <c r="N46" s="426">
        <f t="shared" si="5"/>
        <v>5291</v>
      </c>
      <c r="O46" s="426">
        <f t="shared" si="6"/>
        <v>0</v>
      </c>
      <c r="P46" s="426">
        <f t="shared" si="7"/>
        <v>0</v>
      </c>
      <c r="Q46" s="426">
        <f t="shared" si="8"/>
        <v>0</v>
      </c>
      <c r="R46" s="426">
        <f t="shared" si="39"/>
        <v>0</v>
      </c>
      <c r="S46" s="426">
        <f t="shared" si="40"/>
        <v>0</v>
      </c>
      <c r="T46" s="426">
        <f t="shared" si="9"/>
        <v>0</v>
      </c>
      <c r="U46" s="426">
        <f t="shared" si="10"/>
        <v>0</v>
      </c>
      <c r="V46" s="426">
        <f t="shared" si="11"/>
        <v>0</v>
      </c>
      <c r="W46" s="426">
        <f t="shared" si="12"/>
        <v>0</v>
      </c>
      <c r="X46" s="426">
        <f t="shared" si="13"/>
        <v>0</v>
      </c>
      <c r="Y46" s="426">
        <f t="shared" si="14"/>
        <v>0</v>
      </c>
      <c r="Z46" s="426">
        <f t="shared" si="15"/>
        <v>0</v>
      </c>
      <c r="AA46" s="426">
        <f t="shared" si="16"/>
        <v>0</v>
      </c>
      <c r="AB46" s="426">
        <f t="shared" si="17"/>
        <v>0</v>
      </c>
      <c r="AC46" s="426">
        <f t="shared" si="18"/>
        <v>0</v>
      </c>
      <c r="AD46" s="426">
        <f t="shared" si="19"/>
        <v>0</v>
      </c>
      <c r="AE46" s="426">
        <f t="shared" si="20"/>
        <v>0</v>
      </c>
      <c r="AF46" s="426">
        <f t="shared" si="21"/>
        <v>0</v>
      </c>
      <c r="AG46" s="426">
        <f t="shared" si="22"/>
        <v>0</v>
      </c>
      <c r="AH46" s="426">
        <f t="shared" si="23"/>
        <v>0</v>
      </c>
      <c r="AI46" s="426">
        <f t="shared" si="24"/>
        <v>0</v>
      </c>
      <c r="AJ46" s="426">
        <f t="shared" si="25"/>
        <v>0</v>
      </c>
      <c r="AK46" s="426">
        <f t="shared" si="26"/>
        <v>0</v>
      </c>
      <c r="AL46" s="426">
        <f t="shared" si="27"/>
        <v>0</v>
      </c>
      <c r="AM46" s="426">
        <f t="shared" si="28"/>
        <v>0</v>
      </c>
      <c r="AN46" s="426">
        <f t="shared" si="29"/>
        <v>0</v>
      </c>
      <c r="AO46" s="426">
        <f t="shared" si="30"/>
        <v>0</v>
      </c>
      <c r="AP46" s="426">
        <f t="shared" si="31"/>
        <v>0</v>
      </c>
      <c r="AQ46" s="426">
        <f t="shared" si="32"/>
        <v>0</v>
      </c>
      <c r="AR46" s="426">
        <f t="shared" si="33"/>
        <v>0</v>
      </c>
      <c r="AS46" s="426">
        <f t="shared" si="34"/>
        <v>0</v>
      </c>
      <c r="AT46" s="426">
        <f t="shared" si="35"/>
        <v>0</v>
      </c>
      <c r="AU46" s="426">
        <f t="shared" si="36"/>
        <v>0</v>
      </c>
      <c r="AV46" s="426">
        <f t="shared" si="37"/>
        <v>0</v>
      </c>
      <c r="AW46" s="426">
        <f t="shared" si="38"/>
        <v>0</v>
      </c>
    </row>
    <row r="47" spans="1:49" s="421" customFormat="1" ht="12.75" customHeight="1">
      <c r="A47" s="73">
        <f t="array" ref="A47">IF(C47&lt;&gt;0,SUM(($C$11:C47&lt;&gt;0)*1),"")</f>
        <v>37</v>
      </c>
      <c r="B47" s="422">
        <v>41722</v>
      </c>
      <c r="C47" s="316" t="s">
        <v>81</v>
      </c>
      <c r="D47" s="316">
        <v>41722</v>
      </c>
      <c r="E47" s="423" t="s">
        <v>342</v>
      </c>
      <c r="F47" s="75">
        <v>30000000</v>
      </c>
      <c r="G47" s="425" t="s">
        <v>34</v>
      </c>
      <c r="H47" s="425" t="s">
        <v>120</v>
      </c>
      <c r="I47" s="73">
        <f t="shared" si="41"/>
        <v>37</v>
      </c>
      <c r="J47" s="426">
        <f t="shared" si="1"/>
        <v>0</v>
      </c>
      <c r="K47" s="426">
        <f t="shared" si="2"/>
        <v>30000000</v>
      </c>
      <c r="L47" s="426">
        <f t="shared" si="3"/>
        <v>30000000</v>
      </c>
      <c r="M47" s="426">
        <f t="shared" si="4"/>
        <v>0</v>
      </c>
      <c r="N47" s="426">
        <f t="shared" si="5"/>
        <v>0</v>
      </c>
      <c r="O47" s="426">
        <f t="shared" si="6"/>
        <v>0</v>
      </c>
      <c r="P47" s="426">
        <f t="shared" si="7"/>
        <v>0</v>
      </c>
      <c r="Q47" s="426">
        <f t="shared" si="8"/>
        <v>0</v>
      </c>
      <c r="R47" s="426">
        <f t="shared" si="39"/>
        <v>0</v>
      </c>
      <c r="S47" s="426">
        <f t="shared" si="40"/>
        <v>0</v>
      </c>
      <c r="T47" s="426">
        <f t="shared" si="9"/>
        <v>0</v>
      </c>
      <c r="U47" s="426">
        <f t="shared" si="10"/>
        <v>0</v>
      </c>
      <c r="V47" s="426">
        <f t="shared" si="11"/>
        <v>0</v>
      </c>
      <c r="W47" s="426">
        <f t="shared" si="12"/>
        <v>0</v>
      </c>
      <c r="X47" s="426">
        <f t="shared" si="13"/>
        <v>0</v>
      </c>
      <c r="Y47" s="426">
        <f t="shared" si="14"/>
        <v>0</v>
      </c>
      <c r="Z47" s="426">
        <f t="shared" si="15"/>
        <v>0</v>
      </c>
      <c r="AA47" s="426">
        <f t="shared" si="16"/>
        <v>0</v>
      </c>
      <c r="AB47" s="426">
        <f t="shared" si="17"/>
        <v>0</v>
      </c>
      <c r="AC47" s="426">
        <f t="shared" si="18"/>
        <v>0</v>
      </c>
      <c r="AD47" s="426">
        <f t="shared" si="19"/>
        <v>0</v>
      </c>
      <c r="AE47" s="426">
        <f t="shared" si="20"/>
        <v>0</v>
      </c>
      <c r="AF47" s="426">
        <f t="shared" si="21"/>
        <v>0</v>
      </c>
      <c r="AG47" s="426">
        <f t="shared" si="22"/>
        <v>0</v>
      </c>
      <c r="AH47" s="426">
        <f t="shared" si="23"/>
        <v>0</v>
      </c>
      <c r="AI47" s="426">
        <f t="shared" si="24"/>
        <v>0</v>
      </c>
      <c r="AJ47" s="426">
        <f t="shared" si="25"/>
        <v>0</v>
      </c>
      <c r="AK47" s="426">
        <f t="shared" si="26"/>
        <v>0</v>
      </c>
      <c r="AL47" s="426">
        <f t="shared" si="27"/>
        <v>0</v>
      </c>
      <c r="AM47" s="426">
        <f t="shared" si="28"/>
        <v>0</v>
      </c>
      <c r="AN47" s="426">
        <f t="shared" si="29"/>
        <v>0</v>
      </c>
      <c r="AO47" s="426">
        <f t="shared" si="30"/>
        <v>0</v>
      </c>
      <c r="AP47" s="426">
        <f t="shared" si="31"/>
        <v>0</v>
      </c>
      <c r="AQ47" s="426">
        <f t="shared" si="32"/>
        <v>0</v>
      </c>
      <c r="AR47" s="426">
        <f t="shared" si="33"/>
        <v>0</v>
      </c>
      <c r="AS47" s="426">
        <f t="shared" si="34"/>
        <v>0</v>
      </c>
      <c r="AT47" s="426">
        <f t="shared" si="35"/>
        <v>0</v>
      </c>
      <c r="AU47" s="426">
        <f t="shared" si="36"/>
        <v>0</v>
      </c>
      <c r="AV47" s="426">
        <f t="shared" si="37"/>
        <v>0</v>
      </c>
      <c r="AW47" s="426">
        <f t="shared" si="38"/>
        <v>0</v>
      </c>
    </row>
    <row r="48" spans="1:49" s="421" customFormat="1" ht="12.75" customHeight="1">
      <c r="A48" s="73">
        <f t="array" ref="A48">IF(C48&lt;&gt;0,SUM(($C$11:C48&lt;&gt;0)*1),"")</f>
        <v>38</v>
      </c>
      <c r="B48" s="422">
        <v>41723</v>
      </c>
      <c r="C48" s="316" t="s">
        <v>8</v>
      </c>
      <c r="D48" s="316">
        <v>41723</v>
      </c>
      <c r="E48" s="423" t="s">
        <v>347</v>
      </c>
      <c r="F48" s="75">
        <v>30000000</v>
      </c>
      <c r="G48" s="425" t="s">
        <v>9</v>
      </c>
      <c r="H48" s="425" t="s">
        <v>34</v>
      </c>
      <c r="I48" s="73">
        <f t="shared" si="41"/>
        <v>38</v>
      </c>
      <c r="J48" s="426">
        <f t="shared" si="1"/>
        <v>0</v>
      </c>
      <c r="K48" s="426">
        <f t="shared" si="2"/>
        <v>0</v>
      </c>
      <c r="L48" s="426">
        <f t="shared" si="3"/>
        <v>0</v>
      </c>
      <c r="M48" s="426">
        <f t="shared" si="4"/>
        <v>30000000</v>
      </c>
      <c r="N48" s="426">
        <f t="shared" si="5"/>
        <v>0</v>
      </c>
      <c r="O48" s="426">
        <f t="shared" si="6"/>
        <v>0</v>
      </c>
      <c r="P48" s="426">
        <f t="shared" si="7"/>
        <v>0</v>
      </c>
      <c r="Q48" s="426">
        <f t="shared" si="8"/>
        <v>0</v>
      </c>
      <c r="R48" s="426">
        <f t="shared" si="39"/>
        <v>0</v>
      </c>
      <c r="S48" s="426">
        <f t="shared" si="40"/>
        <v>0</v>
      </c>
      <c r="T48" s="426">
        <f t="shared" si="9"/>
        <v>30000000</v>
      </c>
      <c r="U48" s="426">
        <f t="shared" si="10"/>
        <v>0</v>
      </c>
      <c r="V48" s="426">
        <f t="shared" si="11"/>
        <v>0</v>
      </c>
      <c r="W48" s="426">
        <f t="shared" si="12"/>
        <v>0</v>
      </c>
      <c r="X48" s="426">
        <f t="shared" si="13"/>
        <v>0</v>
      </c>
      <c r="Y48" s="426">
        <f t="shared" si="14"/>
        <v>0</v>
      </c>
      <c r="Z48" s="426">
        <f t="shared" si="15"/>
        <v>0</v>
      </c>
      <c r="AA48" s="426">
        <f t="shared" si="16"/>
        <v>0</v>
      </c>
      <c r="AB48" s="426">
        <f t="shared" si="17"/>
        <v>0</v>
      </c>
      <c r="AC48" s="426">
        <f t="shared" si="18"/>
        <v>0</v>
      </c>
      <c r="AD48" s="426">
        <f t="shared" si="19"/>
        <v>0</v>
      </c>
      <c r="AE48" s="426">
        <f t="shared" si="20"/>
        <v>0</v>
      </c>
      <c r="AF48" s="426">
        <f t="shared" si="21"/>
        <v>0</v>
      </c>
      <c r="AG48" s="426">
        <f t="shared" si="22"/>
        <v>0</v>
      </c>
      <c r="AH48" s="426">
        <f t="shared" si="23"/>
        <v>0</v>
      </c>
      <c r="AI48" s="426">
        <f t="shared" si="24"/>
        <v>0</v>
      </c>
      <c r="AJ48" s="426">
        <f t="shared" si="25"/>
        <v>0</v>
      </c>
      <c r="AK48" s="426">
        <f t="shared" si="26"/>
        <v>0</v>
      </c>
      <c r="AL48" s="426">
        <f t="shared" si="27"/>
        <v>0</v>
      </c>
      <c r="AM48" s="426">
        <f t="shared" si="28"/>
        <v>0</v>
      </c>
      <c r="AN48" s="426">
        <f t="shared" si="29"/>
        <v>0</v>
      </c>
      <c r="AO48" s="426">
        <f t="shared" si="30"/>
        <v>0</v>
      </c>
      <c r="AP48" s="426">
        <f t="shared" si="31"/>
        <v>0</v>
      </c>
      <c r="AQ48" s="426">
        <f t="shared" si="32"/>
        <v>0</v>
      </c>
      <c r="AR48" s="426">
        <f t="shared" si="33"/>
        <v>0</v>
      </c>
      <c r="AS48" s="426">
        <f t="shared" si="34"/>
        <v>0</v>
      </c>
      <c r="AT48" s="426">
        <f t="shared" si="35"/>
        <v>0</v>
      </c>
      <c r="AU48" s="426">
        <f t="shared" si="36"/>
        <v>0</v>
      </c>
      <c r="AV48" s="426">
        <f t="shared" si="37"/>
        <v>0</v>
      </c>
      <c r="AW48" s="426">
        <f t="shared" si="38"/>
        <v>0</v>
      </c>
    </row>
    <row r="49" spans="1:49" s="421" customFormat="1" ht="12.75" customHeight="1">
      <c r="A49" s="73">
        <f t="array" ref="A49">IF(C49&lt;&gt;0,SUM(($C$11:C49&lt;&gt;0)*1),"")</f>
        <v>39</v>
      </c>
      <c r="B49" s="422">
        <v>41723</v>
      </c>
      <c r="C49" s="316" t="s">
        <v>8</v>
      </c>
      <c r="D49" s="316">
        <v>41723</v>
      </c>
      <c r="E49" s="423" t="s">
        <v>21</v>
      </c>
      <c r="F49" s="75">
        <v>20000</v>
      </c>
      <c r="G49" s="425" t="s">
        <v>348</v>
      </c>
      <c r="H49" s="425" t="s">
        <v>34</v>
      </c>
      <c r="I49" s="73">
        <f t="shared" si="41"/>
        <v>39</v>
      </c>
      <c r="J49" s="426">
        <f t="shared" si="1"/>
        <v>0</v>
      </c>
      <c r="K49" s="426">
        <f t="shared" si="2"/>
        <v>0</v>
      </c>
      <c r="L49" s="426">
        <f t="shared" si="3"/>
        <v>0</v>
      </c>
      <c r="M49" s="426">
        <f t="shared" si="4"/>
        <v>20000</v>
      </c>
      <c r="N49" s="426">
        <f t="shared" si="5"/>
        <v>0</v>
      </c>
      <c r="O49" s="426">
        <f t="shared" si="6"/>
        <v>0</v>
      </c>
      <c r="P49" s="426">
        <f t="shared" si="7"/>
        <v>0</v>
      </c>
      <c r="Q49" s="426">
        <f t="shared" si="8"/>
        <v>0</v>
      </c>
      <c r="R49" s="426">
        <f t="shared" si="39"/>
        <v>0</v>
      </c>
      <c r="S49" s="426">
        <f t="shared" si="40"/>
        <v>0</v>
      </c>
      <c r="T49" s="426">
        <f t="shared" si="9"/>
        <v>0</v>
      </c>
      <c r="U49" s="426">
        <f t="shared" si="10"/>
        <v>0</v>
      </c>
      <c r="V49" s="426">
        <f t="shared" si="11"/>
        <v>0</v>
      </c>
      <c r="W49" s="426">
        <f t="shared" si="12"/>
        <v>0</v>
      </c>
      <c r="X49" s="426">
        <f t="shared" si="13"/>
        <v>0</v>
      </c>
      <c r="Y49" s="426">
        <f t="shared" si="14"/>
        <v>0</v>
      </c>
      <c r="Z49" s="426">
        <f t="shared" si="15"/>
        <v>0</v>
      </c>
      <c r="AA49" s="426">
        <f t="shared" si="16"/>
        <v>0</v>
      </c>
      <c r="AB49" s="426">
        <f t="shared" si="17"/>
        <v>0</v>
      </c>
      <c r="AC49" s="426">
        <f t="shared" si="18"/>
        <v>0</v>
      </c>
      <c r="AD49" s="426">
        <f t="shared" si="19"/>
        <v>0</v>
      </c>
      <c r="AE49" s="426">
        <f t="shared" si="20"/>
        <v>0</v>
      </c>
      <c r="AF49" s="426">
        <f t="shared" si="21"/>
        <v>0</v>
      </c>
      <c r="AG49" s="426">
        <f t="shared" si="22"/>
        <v>0</v>
      </c>
      <c r="AH49" s="426">
        <f t="shared" si="23"/>
        <v>0</v>
      </c>
      <c r="AI49" s="426">
        <f t="shared" si="24"/>
        <v>0</v>
      </c>
      <c r="AJ49" s="426">
        <f t="shared" si="25"/>
        <v>0</v>
      </c>
      <c r="AK49" s="426">
        <f t="shared" si="26"/>
        <v>0</v>
      </c>
      <c r="AL49" s="426">
        <f t="shared" si="27"/>
        <v>0</v>
      </c>
      <c r="AM49" s="426">
        <f t="shared" si="28"/>
        <v>0</v>
      </c>
      <c r="AN49" s="426">
        <f t="shared" si="29"/>
        <v>0</v>
      </c>
      <c r="AO49" s="426">
        <f t="shared" si="30"/>
        <v>0</v>
      </c>
      <c r="AP49" s="426">
        <f t="shared" si="31"/>
        <v>0</v>
      </c>
      <c r="AQ49" s="426">
        <f t="shared" si="32"/>
        <v>0</v>
      </c>
      <c r="AR49" s="426">
        <f t="shared" si="33"/>
        <v>0</v>
      </c>
      <c r="AS49" s="426">
        <f t="shared" si="34"/>
        <v>0</v>
      </c>
      <c r="AT49" s="426">
        <f t="shared" si="35"/>
        <v>0</v>
      </c>
      <c r="AU49" s="426">
        <f t="shared" si="36"/>
        <v>0</v>
      </c>
      <c r="AV49" s="426">
        <f t="shared" si="37"/>
        <v>0</v>
      </c>
      <c r="AW49" s="426">
        <f t="shared" si="38"/>
        <v>0</v>
      </c>
    </row>
    <row r="50" spans="1:49" s="421" customFormat="1" ht="12.75" customHeight="1">
      <c r="A50" s="73">
        <f t="array" ref="A50">IF(C50&lt;&gt;0,SUM(($C$11:C50&lt;&gt;0)*1),"")</f>
        <v>40</v>
      </c>
      <c r="B50" s="422">
        <v>41723</v>
      </c>
      <c r="C50" s="316" t="s">
        <v>8</v>
      </c>
      <c r="D50" s="316">
        <v>41723</v>
      </c>
      <c r="E50" s="423" t="s">
        <v>335</v>
      </c>
      <c r="F50" s="75">
        <v>2000</v>
      </c>
      <c r="G50" s="425" t="s">
        <v>10</v>
      </c>
      <c r="H50" s="425" t="s">
        <v>34</v>
      </c>
      <c r="I50" s="73">
        <f t="shared" si="41"/>
        <v>40</v>
      </c>
      <c r="J50" s="426">
        <f t="shared" si="1"/>
        <v>0</v>
      </c>
      <c r="K50" s="426">
        <f t="shared" si="2"/>
        <v>0</v>
      </c>
      <c r="L50" s="426">
        <f t="shared" si="3"/>
        <v>0</v>
      </c>
      <c r="M50" s="426">
        <f t="shared" si="4"/>
        <v>2000</v>
      </c>
      <c r="N50" s="426">
        <f t="shared" si="5"/>
        <v>2000</v>
      </c>
      <c r="O50" s="426">
        <f t="shared" si="6"/>
        <v>0</v>
      </c>
      <c r="P50" s="426">
        <f t="shared" si="7"/>
        <v>0</v>
      </c>
      <c r="Q50" s="426">
        <f t="shared" si="8"/>
        <v>0</v>
      </c>
      <c r="R50" s="426">
        <f t="shared" si="39"/>
        <v>0</v>
      </c>
      <c r="S50" s="426">
        <f t="shared" si="40"/>
        <v>0</v>
      </c>
      <c r="T50" s="426">
        <f t="shared" si="9"/>
        <v>0</v>
      </c>
      <c r="U50" s="426">
        <f t="shared" si="10"/>
        <v>0</v>
      </c>
      <c r="V50" s="426">
        <f t="shared" si="11"/>
        <v>0</v>
      </c>
      <c r="W50" s="426">
        <f t="shared" si="12"/>
        <v>0</v>
      </c>
      <c r="X50" s="426">
        <f t="shared" si="13"/>
        <v>0</v>
      </c>
      <c r="Y50" s="426">
        <f t="shared" si="14"/>
        <v>0</v>
      </c>
      <c r="Z50" s="426">
        <f t="shared" si="15"/>
        <v>0</v>
      </c>
      <c r="AA50" s="426">
        <f t="shared" si="16"/>
        <v>0</v>
      </c>
      <c r="AB50" s="426">
        <f t="shared" si="17"/>
        <v>0</v>
      </c>
      <c r="AC50" s="426">
        <f t="shared" si="18"/>
        <v>0</v>
      </c>
      <c r="AD50" s="426">
        <f t="shared" si="19"/>
        <v>0</v>
      </c>
      <c r="AE50" s="426">
        <f t="shared" si="20"/>
        <v>0</v>
      </c>
      <c r="AF50" s="426">
        <f t="shared" si="21"/>
        <v>0</v>
      </c>
      <c r="AG50" s="426">
        <f t="shared" si="22"/>
        <v>0</v>
      </c>
      <c r="AH50" s="426">
        <f t="shared" si="23"/>
        <v>0</v>
      </c>
      <c r="AI50" s="426">
        <f t="shared" si="24"/>
        <v>0</v>
      </c>
      <c r="AJ50" s="426">
        <f t="shared" si="25"/>
        <v>0</v>
      </c>
      <c r="AK50" s="426">
        <f t="shared" si="26"/>
        <v>0</v>
      </c>
      <c r="AL50" s="426">
        <f t="shared" si="27"/>
        <v>0</v>
      </c>
      <c r="AM50" s="426">
        <f t="shared" si="28"/>
        <v>0</v>
      </c>
      <c r="AN50" s="426">
        <f t="shared" si="29"/>
        <v>0</v>
      </c>
      <c r="AO50" s="426">
        <f t="shared" si="30"/>
        <v>0</v>
      </c>
      <c r="AP50" s="426">
        <f t="shared" si="31"/>
        <v>0</v>
      </c>
      <c r="AQ50" s="426">
        <f t="shared" si="32"/>
        <v>0</v>
      </c>
      <c r="AR50" s="426">
        <f t="shared" si="33"/>
        <v>0</v>
      </c>
      <c r="AS50" s="426">
        <f t="shared" si="34"/>
        <v>0</v>
      </c>
      <c r="AT50" s="426">
        <f t="shared" si="35"/>
        <v>0</v>
      </c>
      <c r="AU50" s="426">
        <f t="shared" si="36"/>
        <v>0</v>
      </c>
      <c r="AV50" s="426">
        <f t="shared" si="37"/>
        <v>0</v>
      </c>
      <c r="AW50" s="426">
        <f t="shared" si="38"/>
        <v>0</v>
      </c>
    </row>
    <row r="51" spans="1:49" s="421" customFormat="1" ht="12.75" customHeight="1">
      <c r="A51" s="73">
        <f t="array" ref="A51">IF(C51&lt;&gt;0,SUM(($C$11:C51&lt;&gt;0)*1),"")</f>
        <v>41</v>
      </c>
      <c r="B51" s="422">
        <v>41729</v>
      </c>
      <c r="C51" s="428" t="s">
        <v>173</v>
      </c>
      <c r="D51" s="428">
        <f>B51</f>
        <v>41729</v>
      </c>
      <c r="E51" s="429" t="s">
        <v>326</v>
      </c>
      <c r="F51" s="102">
        <f>AH10</f>
        <v>2041200</v>
      </c>
      <c r="G51" s="430" t="s">
        <v>150</v>
      </c>
      <c r="H51" s="430" t="s">
        <v>152</v>
      </c>
      <c r="I51" s="73">
        <f>A51</f>
        <v>41</v>
      </c>
      <c r="J51" s="426">
        <f t="shared" si="1"/>
        <v>0</v>
      </c>
      <c r="K51" s="426">
        <f t="shared" si="2"/>
        <v>0</v>
      </c>
      <c r="L51" s="426">
        <f t="shared" si="3"/>
        <v>0</v>
      </c>
      <c r="M51" s="426">
        <f t="shared" si="4"/>
        <v>0</v>
      </c>
      <c r="N51" s="426">
        <f t="shared" si="5"/>
        <v>0</v>
      </c>
      <c r="O51" s="426">
        <f t="shared" si="6"/>
        <v>0</v>
      </c>
      <c r="P51" s="426">
        <f t="shared" si="7"/>
        <v>0</v>
      </c>
      <c r="Q51" s="426">
        <f t="shared" si="8"/>
        <v>0</v>
      </c>
      <c r="R51" s="426">
        <f t="shared" si="39"/>
        <v>0</v>
      </c>
      <c r="S51" s="426">
        <f t="shared" si="40"/>
        <v>0</v>
      </c>
      <c r="T51" s="426">
        <f t="shared" si="9"/>
        <v>0</v>
      </c>
      <c r="U51" s="426">
        <f t="shared" si="10"/>
        <v>0</v>
      </c>
      <c r="V51" s="426">
        <f t="shared" si="11"/>
        <v>0</v>
      </c>
      <c r="W51" s="426">
        <f t="shared" si="12"/>
        <v>0</v>
      </c>
      <c r="X51" s="426">
        <f t="shared" si="13"/>
        <v>0</v>
      </c>
      <c r="Y51" s="426">
        <f t="shared" si="14"/>
        <v>0</v>
      </c>
      <c r="Z51" s="426">
        <f t="shared" si="15"/>
        <v>0</v>
      </c>
      <c r="AA51" s="426">
        <f t="shared" si="16"/>
        <v>0</v>
      </c>
      <c r="AB51" s="426">
        <f t="shared" si="17"/>
        <v>0</v>
      </c>
      <c r="AC51" s="426">
        <f t="shared" si="18"/>
        <v>0</v>
      </c>
      <c r="AD51" s="426">
        <f t="shared" si="19"/>
        <v>0</v>
      </c>
      <c r="AE51" s="426">
        <f t="shared" si="20"/>
        <v>0</v>
      </c>
      <c r="AF51" s="426">
        <f t="shared" si="21"/>
        <v>2041200</v>
      </c>
      <c r="AG51" s="426">
        <f t="shared" si="22"/>
        <v>0</v>
      </c>
      <c r="AH51" s="426">
        <f t="shared" si="23"/>
        <v>0</v>
      </c>
      <c r="AI51" s="426">
        <f t="shared" si="24"/>
        <v>2041200</v>
      </c>
      <c r="AJ51" s="426">
        <f t="shared" si="25"/>
        <v>0</v>
      </c>
      <c r="AK51" s="426">
        <f t="shared" si="26"/>
        <v>0</v>
      </c>
      <c r="AL51" s="426">
        <f t="shared" si="27"/>
        <v>0</v>
      </c>
      <c r="AM51" s="426">
        <f t="shared" si="28"/>
        <v>0</v>
      </c>
      <c r="AN51" s="426">
        <f t="shared" si="29"/>
        <v>0</v>
      </c>
      <c r="AO51" s="426">
        <f t="shared" si="30"/>
        <v>0</v>
      </c>
      <c r="AP51" s="426">
        <f t="shared" si="31"/>
        <v>0</v>
      </c>
      <c r="AQ51" s="426">
        <f t="shared" si="32"/>
        <v>0</v>
      </c>
      <c r="AR51" s="426">
        <f t="shared" si="33"/>
        <v>0</v>
      </c>
      <c r="AS51" s="426">
        <f t="shared" si="34"/>
        <v>0</v>
      </c>
      <c r="AT51" s="426">
        <f t="shared" si="35"/>
        <v>0</v>
      </c>
      <c r="AU51" s="426">
        <f t="shared" si="36"/>
        <v>0</v>
      </c>
      <c r="AV51" s="426">
        <f t="shared" si="37"/>
        <v>0</v>
      </c>
      <c r="AW51" s="426">
        <f t="shared" si="38"/>
        <v>0</v>
      </c>
    </row>
    <row r="52" spans="1:49" s="421" customFormat="1" ht="12.75" customHeight="1">
      <c r="A52" s="73">
        <f t="array" ref="A52">IF(C52&lt;&gt;0,SUM(($C$11:C52&lt;&gt;0)*1),"")</f>
        <v>42</v>
      </c>
      <c r="B52" s="422">
        <v>41729</v>
      </c>
      <c r="C52" s="428" t="s">
        <v>173</v>
      </c>
      <c r="D52" s="428">
        <f t="shared" ref="D52:D56" si="42">B52</f>
        <v>41729</v>
      </c>
      <c r="E52" s="429" t="s">
        <v>174</v>
      </c>
      <c r="F52" s="102">
        <f>AL60</f>
        <v>0</v>
      </c>
      <c r="G52" s="430" t="s">
        <v>167</v>
      </c>
      <c r="H52" s="430" t="s">
        <v>157</v>
      </c>
      <c r="I52" s="73">
        <f t="shared" ref="I52:I59" si="43">A52</f>
        <v>42</v>
      </c>
      <c r="J52" s="426">
        <f t="shared" si="1"/>
        <v>0</v>
      </c>
      <c r="K52" s="426">
        <f t="shared" si="2"/>
        <v>0</v>
      </c>
      <c r="L52" s="426">
        <f t="shared" si="3"/>
        <v>0</v>
      </c>
      <c r="M52" s="426">
        <f t="shared" si="4"/>
        <v>0</v>
      </c>
      <c r="N52" s="426">
        <f t="shared" si="5"/>
        <v>0</v>
      </c>
      <c r="O52" s="426">
        <f t="shared" si="6"/>
        <v>0</v>
      </c>
      <c r="P52" s="426">
        <f t="shared" si="7"/>
        <v>0</v>
      </c>
      <c r="Q52" s="426">
        <f t="shared" si="8"/>
        <v>0</v>
      </c>
      <c r="R52" s="426">
        <f t="shared" si="39"/>
        <v>0</v>
      </c>
      <c r="S52" s="426">
        <f t="shared" si="40"/>
        <v>0</v>
      </c>
      <c r="T52" s="426">
        <f t="shared" si="9"/>
        <v>0</v>
      </c>
      <c r="U52" s="426">
        <f t="shared" si="10"/>
        <v>0</v>
      </c>
      <c r="V52" s="426">
        <f t="shared" si="11"/>
        <v>0</v>
      </c>
      <c r="W52" s="426">
        <f t="shared" si="12"/>
        <v>0</v>
      </c>
      <c r="X52" s="426">
        <f t="shared" si="13"/>
        <v>0</v>
      </c>
      <c r="Y52" s="426">
        <f t="shared" si="14"/>
        <v>0</v>
      </c>
      <c r="Z52" s="426">
        <f t="shared" si="15"/>
        <v>0</v>
      </c>
      <c r="AA52" s="426">
        <f t="shared" si="16"/>
        <v>0</v>
      </c>
      <c r="AB52" s="426">
        <f t="shared" si="17"/>
        <v>0</v>
      </c>
      <c r="AC52" s="426">
        <f t="shared" si="18"/>
        <v>0</v>
      </c>
      <c r="AD52" s="426">
        <f t="shared" si="19"/>
        <v>0</v>
      </c>
      <c r="AE52" s="426">
        <f t="shared" si="20"/>
        <v>0</v>
      </c>
      <c r="AF52" s="426">
        <f t="shared" si="21"/>
        <v>0</v>
      </c>
      <c r="AG52" s="426">
        <f t="shared" si="22"/>
        <v>0</v>
      </c>
      <c r="AH52" s="426">
        <f t="shared" si="23"/>
        <v>0</v>
      </c>
      <c r="AI52" s="426">
        <f t="shared" si="24"/>
        <v>0</v>
      </c>
      <c r="AJ52" s="426">
        <f t="shared" si="25"/>
        <v>0</v>
      </c>
      <c r="AK52" s="426">
        <f t="shared" si="26"/>
        <v>0</v>
      </c>
      <c r="AL52" s="426">
        <f t="shared" si="27"/>
        <v>0</v>
      </c>
      <c r="AM52" s="426">
        <f t="shared" si="28"/>
        <v>0</v>
      </c>
      <c r="AN52" s="426">
        <f t="shared" si="29"/>
        <v>0</v>
      </c>
      <c r="AO52" s="426">
        <f t="shared" si="30"/>
        <v>0</v>
      </c>
      <c r="AP52" s="426">
        <f t="shared" si="31"/>
        <v>0</v>
      </c>
      <c r="AQ52" s="426">
        <f t="shared" si="32"/>
        <v>0</v>
      </c>
      <c r="AR52" s="426">
        <f t="shared" si="33"/>
        <v>0</v>
      </c>
      <c r="AS52" s="426">
        <f t="shared" si="34"/>
        <v>0</v>
      </c>
      <c r="AT52" s="426">
        <f t="shared" si="35"/>
        <v>0</v>
      </c>
      <c r="AU52" s="426">
        <f t="shared" si="36"/>
        <v>0</v>
      </c>
      <c r="AV52" s="426">
        <f t="shared" si="37"/>
        <v>0</v>
      </c>
      <c r="AW52" s="426">
        <f t="shared" si="38"/>
        <v>0</v>
      </c>
    </row>
    <row r="53" spans="1:49" s="421" customFormat="1" ht="12.75" customHeight="1">
      <c r="A53" s="73">
        <f t="array" ref="A53">IF(C53&lt;&gt;0,SUM(($C$11:C53&lt;&gt;0)*1),"")</f>
        <v>43</v>
      </c>
      <c r="B53" s="422">
        <v>41729</v>
      </c>
      <c r="C53" s="428" t="s">
        <v>173</v>
      </c>
      <c r="D53" s="428">
        <f t="shared" si="42"/>
        <v>41729</v>
      </c>
      <c r="E53" s="429" t="s">
        <v>175</v>
      </c>
      <c r="F53" s="102">
        <f>AN60</f>
        <v>0</v>
      </c>
      <c r="G53" s="430" t="s">
        <v>167</v>
      </c>
      <c r="H53" s="430" t="s">
        <v>159</v>
      </c>
      <c r="I53" s="73">
        <f t="shared" si="43"/>
        <v>43</v>
      </c>
      <c r="J53" s="426">
        <f t="shared" si="1"/>
        <v>0</v>
      </c>
      <c r="K53" s="426">
        <f t="shared" si="2"/>
        <v>0</v>
      </c>
      <c r="L53" s="426">
        <f t="shared" si="3"/>
        <v>0</v>
      </c>
      <c r="M53" s="426">
        <f t="shared" si="4"/>
        <v>0</v>
      </c>
      <c r="N53" s="426">
        <f t="shared" si="5"/>
        <v>0</v>
      </c>
      <c r="O53" s="426">
        <f t="shared" si="6"/>
        <v>0</v>
      </c>
      <c r="P53" s="426">
        <f t="shared" si="7"/>
        <v>0</v>
      </c>
      <c r="Q53" s="426">
        <f t="shared" si="8"/>
        <v>0</v>
      </c>
      <c r="R53" s="426">
        <f t="shared" si="39"/>
        <v>0</v>
      </c>
      <c r="S53" s="426">
        <f t="shared" si="40"/>
        <v>0</v>
      </c>
      <c r="T53" s="426">
        <f t="shared" si="9"/>
        <v>0</v>
      </c>
      <c r="U53" s="426">
        <f t="shared" si="10"/>
        <v>0</v>
      </c>
      <c r="V53" s="426">
        <f t="shared" si="11"/>
        <v>0</v>
      </c>
      <c r="W53" s="426">
        <f t="shared" si="12"/>
        <v>0</v>
      </c>
      <c r="X53" s="426">
        <f t="shared" si="13"/>
        <v>0</v>
      </c>
      <c r="Y53" s="426">
        <f t="shared" si="14"/>
        <v>0</v>
      </c>
      <c r="Z53" s="426">
        <f t="shared" si="15"/>
        <v>0</v>
      </c>
      <c r="AA53" s="426">
        <f t="shared" si="16"/>
        <v>0</v>
      </c>
      <c r="AB53" s="426">
        <f t="shared" si="17"/>
        <v>0</v>
      </c>
      <c r="AC53" s="426">
        <f t="shared" si="18"/>
        <v>0</v>
      </c>
      <c r="AD53" s="426">
        <f t="shared" si="19"/>
        <v>0</v>
      </c>
      <c r="AE53" s="426">
        <f t="shared" si="20"/>
        <v>0</v>
      </c>
      <c r="AF53" s="426">
        <f t="shared" si="21"/>
        <v>0</v>
      </c>
      <c r="AG53" s="426">
        <f t="shared" si="22"/>
        <v>0</v>
      </c>
      <c r="AH53" s="426">
        <f t="shared" si="23"/>
        <v>0</v>
      </c>
      <c r="AI53" s="426">
        <f t="shared" si="24"/>
        <v>0</v>
      </c>
      <c r="AJ53" s="426">
        <f t="shared" si="25"/>
        <v>0</v>
      </c>
      <c r="AK53" s="426">
        <f t="shared" si="26"/>
        <v>0</v>
      </c>
      <c r="AL53" s="426">
        <f t="shared" si="27"/>
        <v>0</v>
      </c>
      <c r="AM53" s="426">
        <f t="shared" si="28"/>
        <v>0</v>
      </c>
      <c r="AN53" s="426">
        <f t="shared" si="29"/>
        <v>0</v>
      </c>
      <c r="AO53" s="426">
        <f t="shared" si="30"/>
        <v>0</v>
      </c>
      <c r="AP53" s="426">
        <f t="shared" si="31"/>
        <v>0</v>
      </c>
      <c r="AQ53" s="426">
        <f t="shared" si="32"/>
        <v>0</v>
      </c>
      <c r="AR53" s="426">
        <f t="shared" si="33"/>
        <v>0</v>
      </c>
      <c r="AS53" s="426">
        <f t="shared" si="34"/>
        <v>0</v>
      </c>
      <c r="AT53" s="426">
        <f t="shared" si="35"/>
        <v>0</v>
      </c>
      <c r="AU53" s="426">
        <f t="shared" si="36"/>
        <v>0</v>
      </c>
      <c r="AV53" s="426">
        <f t="shared" si="37"/>
        <v>0</v>
      </c>
      <c r="AW53" s="426">
        <f t="shared" si="38"/>
        <v>0</v>
      </c>
    </row>
    <row r="54" spans="1:49" s="421" customFormat="1" ht="12.75" customHeight="1">
      <c r="A54" s="73">
        <f t="array" ref="A54">IF(C54&lt;&gt;0,SUM(($C$11:C54&lt;&gt;0)*1),"")</f>
        <v>44</v>
      </c>
      <c r="B54" s="422">
        <v>41729</v>
      </c>
      <c r="C54" s="428" t="s">
        <v>173</v>
      </c>
      <c r="D54" s="428">
        <f t="shared" si="42"/>
        <v>41729</v>
      </c>
      <c r="E54" s="429" t="s">
        <v>294</v>
      </c>
      <c r="F54" s="102"/>
      <c r="G54" s="430" t="s">
        <v>248</v>
      </c>
      <c r="H54" s="430" t="s">
        <v>152</v>
      </c>
      <c r="I54" s="73">
        <f t="shared" si="43"/>
        <v>44</v>
      </c>
      <c r="J54" s="426">
        <f t="shared" si="1"/>
        <v>0</v>
      </c>
      <c r="K54" s="426">
        <f t="shared" si="2"/>
        <v>0</v>
      </c>
      <c r="L54" s="426">
        <f t="shared" si="3"/>
        <v>0</v>
      </c>
      <c r="M54" s="426">
        <f t="shared" si="4"/>
        <v>0</v>
      </c>
      <c r="N54" s="426">
        <f t="shared" si="5"/>
        <v>0</v>
      </c>
      <c r="O54" s="426">
        <f t="shared" si="6"/>
        <v>0</v>
      </c>
      <c r="P54" s="426">
        <f t="shared" si="7"/>
        <v>0</v>
      </c>
      <c r="Q54" s="426">
        <f t="shared" si="8"/>
        <v>0</v>
      </c>
      <c r="R54" s="426">
        <f t="shared" si="39"/>
        <v>0</v>
      </c>
      <c r="S54" s="426">
        <f t="shared" si="40"/>
        <v>0</v>
      </c>
      <c r="T54" s="426">
        <f t="shared" si="9"/>
        <v>0</v>
      </c>
      <c r="U54" s="426">
        <f t="shared" si="10"/>
        <v>0</v>
      </c>
      <c r="V54" s="426">
        <f t="shared" si="11"/>
        <v>0</v>
      </c>
      <c r="W54" s="426">
        <f t="shared" si="12"/>
        <v>0</v>
      </c>
      <c r="X54" s="426">
        <f t="shared" si="13"/>
        <v>0</v>
      </c>
      <c r="Y54" s="426">
        <f t="shared" si="14"/>
        <v>0</v>
      </c>
      <c r="Z54" s="426">
        <f t="shared" si="15"/>
        <v>0</v>
      </c>
      <c r="AA54" s="426">
        <f t="shared" si="16"/>
        <v>0</v>
      </c>
      <c r="AB54" s="426">
        <f t="shared" si="17"/>
        <v>0</v>
      </c>
      <c r="AC54" s="426">
        <f t="shared" si="18"/>
        <v>0</v>
      </c>
      <c r="AD54" s="426">
        <f t="shared" si="19"/>
        <v>0</v>
      </c>
      <c r="AE54" s="426">
        <f t="shared" si="20"/>
        <v>0</v>
      </c>
      <c r="AF54" s="426">
        <f t="shared" si="21"/>
        <v>0</v>
      </c>
      <c r="AG54" s="426">
        <f t="shared" si="22"/>
        <v>0</v>
      </c>
      <c r="AH54" s="426">
        <f t="shared" si="23"/>
        <v>0</v>
      </c>
      <c r="AI54" s="426">
        <f t="shared" si="24"/>
        <v>0</v>
      </c>
      <c r="AJ54" s="426">
        <f t="shared" si="25"/>
        <v>0</v>
      </c>
      <c r="AK54" s="426">
        <f t="shared" si="26"/>
        <v>0</v>
      </c>
      <c r="AL54" s="426">
        <f t="shared" si="27"/>
        <v>0</v>
      </c>
      <c r="AM54" s="426">
        <f t="shared" si="28"/>
        <v>0</v>
      </c>
      <c r="AN54" s="426">
        <f t="shared" si="29"/>
        <v>0</v>
      </c>
      <c r="AO54" s="426">
        <f t="shared" si="30"/>
        <v>0</v>
      </c>
      <c r="AP54" s="426">
        <f t="shared" si="31"/>
        <v>0</v>
      </c>
      <c r="AQ54" s="426">
        <f t="shared" si="32"/>
        <v>0</v>
      </c>
      <c r="AR54" s="426">
        <f t="shared" si="33"/>
        <v>0</v>
      </c>
      <c r="AS54" s="426">
        <f t="shared" si="34"/>
        <v>0</v>
      </c>
      <c r="AT54" s="426">
        <f t="shared" si="35"/>
        <v>0</v>
      </c>
      <c r="AU54" s="426">
        <f t="shared" si="36"/>
        <v>0</v>
      </c>
      <c r="AV54" s="426">
        <f t="shared" si="37"/>
        <v>0</v>
      </c>
      <c r="AW54" s="426">
        <f t="shared" si="38"/>
        <v>0</v>
      </c>
    </row>
    <row r="55" spans="1:49" s="421" customFormat="1" ht="12.75" customHeight="1">
      <c r="A55" s="73">
        <f t="array" ref="A55">IF(C55&lt;&gt;0,SUM(($C$11:C55&lt;&gt;0)*1),"")</f>
        <v>45</v>
      </c>
      <c r="B55" s="422">
        <v>41729</v>
      </c>
      <c r="C55" s="428" t="s">
        <v>173</v>
      </c>
      <c r="D55" s="428">
        <f t="shared" si="42"/>
        <v>41729</v>
      </c>
      <c r="E55" s="429" t="s">
        <v>327</v>
      </c>
      <c r="F55" s="102"/>
      <c r="G55" s="430" t="s">
        <v>152</v>
      </c>
      <c r="H55" s="430" t="s">
        <v>167</v>
      </c>
      <c r="I55" s="73">
        <f t="shared" si="43"/>
        <v>45</v>
      </c>
      <c r="J55" s="426">
        <f t="shared" si="1"/>
        <v>0</v>
      </c>
      <c r="K55" s="426">
        <f t="shared" si="2"/>
        <v>0</v>
      </c>
      <c r="L55" s="426">
        <f t="shared" si="3"/>
        <v>0</v>
      </c>
      <c r="M55" s="426">
        <f t="shared" si="4"/>
        <v>0</v>
      </c>
      <c r="N55" s="426">
        <f t="shared" si="5"/>
        <v>0</v>
      </c>
      <c r="O55" s="426">
        <f t="shared" si="6"/>
        <v>0</v>
      </c>
      <c r="P55" s="426">
        <f t="shared" si="7"/>
        <v>0</v>
      </c>
      <c r="Q55" s="426">
        <f t="shared" si="8"/>
        <v>0</v>
      </c>
      <c r="R55" s="426">
        <f t="shared" si="39"/>
        <v>0</v>
      </c>
      <c r="S55" s="426">
        <f t="shared" si="40"/>
        <v>0</v>
      </c>
      <c r="T55" s="426">
        <f t="shared" si="9"/>
        <v>0</v>
      </c>
      <c r="U55" s="426">
        <f t="shared" si="10"/>
        <v>0</v>
      </c>
      <c r="V55" s="426">
        <f t="shared" si="11"/>
        <v>0</v>
      </c>
      <c r="W55" s="426">
        <f t="shared" si="12"/>
        <v>0</v>
      </c>
      <c r="X55" s="426">
        <f t="shared" si="13"/>
        <v>0</v>
      </c>
      <c r="Y55" s="426">
        <f t="shared" si="14"/>
        <v>0</v>
      </c>
      <c r="Z55" s="426">
        <f t="shared" si="15"/>
        <v>0</v>
      </c>
      <c r="AA55" s="426">
        <f t="shared" si="16"/>
        <v>0</v>
      </c>
      <c r="AB55" s="426">
        <f t="shared" si="17"/>
        <v>0</v>
      </c>
      <c r="AC55" s="426">
        <f t="shared" si="18"/>
        <v>0</v>
      </c>
      <c r="AD55" s="426">
        <f t="shared" si="19"/>
        <v>0</v>
      </c>
      <c r="AE55" s="426">
        <f t="shared" si="20"/>
        <v>0</v>
      </c>
      <c r="AF55" s="426">
        <f t="shared" si="21"/>
        <v>0</v>
      </c>
      <c r="AG55" s="426">
        <f t="shared" si="22"/>
        <v>0</v>
      </c>
      <c r="AH55" s="426">
        <f t="shared" si="23"/>
        <v>0</v>
      </c>
      <c r="AI55" s="426">
        <f t="shared" si="24"/>
        <v>0</v>
      </c>
      <c r="AJ55" s="426">
        <f t="shared" si="25"/>
        <v>0</v>
      </c>
      <c r="AK55" s="426">
        <f t="shared" si="26"/>
        <v>0</v>
      </c>
      <c r="AL55" s="426">
        <f t="shared" si="27"/>
        <v>0</v>
      </c>
      <c r="AM55" s="426">
        <f t="shared" si="28"/>
        <v>0</v>
      </c>
      <c r="AN55" s="426">
        <f t="shared" si="29"/>
        <v>0</v>
      </c>
      <c r="AO55" s="426">
        <f t="shared" si="30"/>
        <v>0</v>
      </c>
      <c r="AP55" s="426">
        <f t="shared" si="31"/>
        <v>0</v>
      </c>
      <c r="AQ55" s="426">
        <f t="shared" si="32"/>
        <v>0</v>
      </c>
      <c r="AR55" s="426">
        <f t="shared" si="33"/>
        <v>0</v>
      </c>
      <c r="AS55" s="426">
        <f t="shared" si="34"/>
        <v>0</v>
      </c>
      <c r="AT55" s="426">
        <f t="shared" si="35"/>
        <v>0</v>
      </c>
      <c r="AU55" s="426">
        <f t="shared" si="36"/>
        <v>0</v>
      </c>
      <c r="AV55" s="426">
        <f t="shared" si="37"/>
        <v>0</v>
      </c>
      <c r="AW55" s="426">
        <f t="shared" si="38"/>
        <v>0</v>
      </c>
    </row>
    <row r="56" spans="1:49" s="421" customFormat="1" ht="12.75" customHeight="1">
      <c r="A56" s="73">
        <f t="array" ref="A56">IF(C56&lt;&gt;0,SUM(($C$11:C56&lt;&gt;0)*1),"")</f>
        <v>46</v>
      </c>
      <c r="B56" s="422">
        <v>41729</v>
      </c>
      <c r="C56" s="428" t="s">
        <v>173</v>
      </c>
      <c r="D56" s="428">
        <f t="shared" si="42"/>
        <v>41729</v>
      </c>
      <c r="E56" s="429" t="s">
        <v>177</v>
      </c>
      <c r="F56" s="102">
        <f>AK60</f>
        <v>0</v>
      </c>
      <c r="G56" s="430" t="s">
        <v>67</v>
      </c>
      <c r="H56" s="430" t="s">
        <v>167</v>
      </c>
      <c r="I56" s="73">
        <f t="shared" si="43"/>
        <v>46</v>
      </c>
      <c r="J56" s="426">
        <f t="shared" si="1"/>
        <v>0</v>
      </c>
      <c r="K56" s="426">
        <f t="shared" si="2"/>
        <v>0</v>
      </c>
      <c r="L56" s="426">
        <f t="shared" si="3"/>
        <v>0</v>
      </c>
      <c r="M56" s="426">
        <f t="shared" si="4"/>
        <v>0</v>
      </c>
      <c r="N56" s="426">
        <f t="shared" si="5"/>
        <v>0</v>
      </c>
      <c r="O56" s="426">
        <f t="shared" si="6"/>
        <v>0</v>
      </c>
      <c r="P56" s="426">
        <f t="shared" si="7"/>
        <v>0</v>
      </c>
      <c r="Q56" s="426">
        <f t="shared" si="8"/>
        <v>0</v>
      </c>
      <c r="R56" s="426">
        <f t="shared" si="39"/>
        <v>0</v>
      </c>
      <c r="S56" s="426">
        <f t="shared" si="40"/>
        <v>0</v>
      </c>
      <c r="T56" s="426">
        <f t="shared" si="9"/>
        <v>0</v>
      </c>
      <c r="U56" s="426">
        <f t="shared" si="10"/>
        <v>0</v>
      </c>
      <c r="V56" s="426">
        <f t="shared" si="11"/>
        <v>0</v>
      </c>
      <c r="W56" s="426">
        <f t="shared" si="12"/>
        <v>0</v>
      </c>
      <c r="X56" s="426">
        <f t="shared" si="13"/>
        <v>0</v>
      </c>
      <c r="Y56" s="426">
        <f t="shared" si="14"/>
        <v>0</v>
      </c>
      <c r="Z56" s="426">
        <f t="shared" si="15"/>
        <v>0</v>
      </c>
      <c r="AA56" s="426">
        <f t="shared" si="16"/>
        <v>0</v>
      </c>
      <c r="AB56" s="426">
        <f t="shared" si="17"/>
        <v>0</v>
      </c>
      <c r="AC56" s="426">
        <f t="shared" si="18"/>
        <v>0</v>
      </c>
      <c r="AD56" s="426">
        <f t="shared" si="19"/>
        <v>0</v>
      </c>
      <c r="AE56" s="426">
        <f t="shared" si="20"/>
        <v>0</v>
      </c>
      <c r="AF56" s="426">
        <f t="shared" si="21"/>
        <v>0</v>
      </c>
      <c r="AG56" s="426">
        <f t="shared" si="22"/>
        <v>0</v>
      </c>
      <c r="AH56" s="426">
        <f t="shared" si="23"/>
        <v>0</v>
      </c>
      <c r="AI56" s="426">
        <f t="shared" si="24"/>
        <v>0</v>
      </c>
      <c r="AJ56" s="426">
        <f t="shared" si="25"/>
        <v>0</v>
      </c>
      <c r="AK56" s="426">
        <f t="shared" si="26"/>
        <v>0</v>
      </c>
      <c r="AL56" s="426">
        <f t="shared" si="27"/>
        <v>0</v>
      </c>
      <c r="AM56" s="426">
        <f t="shared" si="28"/>
        <v>0</v>
      </c>
      <c r="AN56" s="426">
        <f t="shared" si="29"/>
        <v>0</v>
      </c>
      <c r="AO56" s="426">
        <f t="shared" si="30"/>
        <v>0</v>
      </c>
      <c r="AP56" s="426">
        <f t="shared" si="31"/>
        <v>0</v>
      </c>
      <c r="AQ56" s="426">
        <f t="shared" si="32"/>
        <v>0</v>
      </c>
      <c r="AR56" s="426">
        <f t="shared" si="33"/>
        <v>0</v>
      </c>
      <c r="AS56" s="426">
        <f t="shared" si="34"/>
        <v>0</v>
      </c>
      <c r="AT56" s="426">
        <f t="shared" si="35"/>
        <v>0</v>
      </c>
      <c r="AU56" s="426">
        <f t="shared" si="36"/>
        <v>0</v>
      </c>
      <c r="AV56" s="426">
        <f t="shared" si="37"/>
        <v>0</v>
      </c>
      <c r="AW56" s="426">
        <f t="shared" si="38"/>
        <v>0</v>
      </c>
    </row>
    <row r="57" spans="1:49" s="421" customFormat="1" ht="12.75" customHeight="1">
      <c r="A57" s="73">
        <f t="array" ref="A57">IF(C57&lt;&gt;0,SUM(($C$11:C57&lt;&gt;0)*1),"")</f>
        <v>47</v>
      </c>
      <c r="B57" s="422">
        <v>41729</v>
      </c>
      <c r="C57" s="428" t="s">
        <v>173</v>
      </c>
      <c r="D57" s="428">
        <f>B57</f>
        <v>41729</v>
      </c>
      <c r="E57" s="429" t="s">
        <v>178</v>
      </c>
      <c r="F57" s="102">
        <f>AQ60</f>
        <v>0</v>
      </c>
      <c r="G57" s="430" t="s">
        <v>161</v>
      </c>
      <c r="H57" s="430" t="s">
        <v>167</v>
      </c>
      <c r="I57" s="73">
        <f t="shared" si="43"/>
        <v>47</v>
      </c>
      <c r="J57" s="426">
        <f t="shared" si="1"/>
        <v>0</v>
      </c>
      <c r="K57" s="426">
        <f t="shared" si="2"/>
        <v>0</v>
      </c>
      <c r="L57" s="426">
        <f t="shared" si="3"/>
        <v>0</v>
      </c>
      <c r="M57" s="426">
        <f t="shared" si="4"/>
        <v>0</v>
      </c>
      <c r="N57" s="426">
        <f t="shared" si="5"/>
        <v>0</v>
      </c>
      <c r="O57" s="426">
        <f t="shared" si="6"/>
        <v>0</v>
      </c>
      <c r="P57" s="426">
        <f t="shared" si="7"/>
        <v>0</v>
      </c>
      <c r="Q57" s="426">
        <f t="shared" si="8"/>
        <v>0</v>
      </c>
      <c r="R57" s="426">
        <f t="shared" si="39"/>
        <v>0</v>
      </c>
      <c r="S57" s="426">
        <f t="shared" si="40"/>
        <v>0</v>
      </c>
      <c r="T57" s="426">
        <f t="shared" si="9"/>
        <v>0</v>
      </c>
      <c r="U57" s="426">
        <f t="shared" si="10"/>
        <v>0</v>
      </c>
      <c r="V57" s="426">
        <f t="shared" si="11"/>
        <v>0</v>
      </c>
      <c r="W57" s="426">
        <f t="shared" si="12"/>
        <v>0</v>
      </c>
      <c r="X57" s="426">
        <f t="shared" si="13"/>
        <v>0</v>
      </c>
      <c r="Y57" s="426">
        <f t="shared" si="14"/>
        <v>0</v>
      </c>
      <c r="Z57" s="426">
        <f t="shared" si="15"/>
        <v>0</v>
      </c>
      <c r="AA57" s="426">
        <f t="shared" si="16"/>
        <v>0</v>
      </c>
      <c r="AB57" s="426">
        <f t="shared" si="17"/>
        <v>0</v>
      </c>
      <c r="AC57" s="426">
        <f t="shared" si="18"/>
        <v>0</v>
      </c>
      <c r="AD57" s="426">
        <f t="shared" si="19"/>
        <v>0</v>
      </c>
      <c r="AE57" s="426">
        <f t="shared" si="20"/>
        <v>0</v>
      </c>
      <c r="AF57" s="426">
        <f t="shared" si="21"/>
        <v>0</v>
      </c>
      <c r="AG57" s="426">
        <f t="shared" si="22"/>
        <v>0</v>
      </c>
      <c r="AH57" s="426">
        <f t="shared" si="23"/>
        <v>0</v>
      </c>
      <c r="AI57" s="426">
        <f t="shared" si="24"/>
        <v>0</v>
      </c>
      <c r="AJ57" s="426">
        <f t="shared" si="25"/>
        <v>0</v>
      </c>
      <c r="AK57" s="426">
        <f t="shared" si="26"/>
        <v>0</v>
      </c>
      <c r="AL57" s="426">
        <f t="shared" si="27"/>
        <v>0</v>
      </c>
      <c r="AM57" s="426">
        <f t="shared" si="28"/>
        <v>0</v>
      </c>
      <c r="AN57" s="426">
        <f t="shared" si="29"/>
        <v>0</v>
      </c>
      <c r="AO57" s="426">
        <f t="shared" si="30"/>
        <v>0</v>
      </c>
      <c r="AP57" s="426">
        <f t="shared" si="31"/>
        <v>0</v>
      </c>
      <c r="AQ57" s="426">
        <f t="shared" si="32"/>
        <v>0</v>
      </c>
      <c r="AR57" s="426">
        <f t="shared" si="33"/>
        <v>0</v>
      </c>
      <c r="AS57" s="426">
        <f t="shared" si="34"/>
        <v>0</v>
      </c>
      <c r="AT57" s="426">
        <f t="shared" si="35"/>
        <v>0</v>
      </c>
      <c r="AU57" s="426">
        <f t="shared" si="36"/>
        <v>0</v>
      </c>
      <c r="AV57" s="426">
        <f t="shared" si="37"/>
        <v>0</v>
      </c>
      <c r="AW57" s="426">
        <f t="shared" si="38"/>
        <v>0</v>
      </c>
    </row>
    <row r="58" spans="1:49" s="421" customFormat="1" ht="12.75" customHeight="1">
      <c r="A58" s="73">
        <f t="array" ref="A58">IF(C58&lt;&gt;0,SUM(($C$11:C58&lt;&gt;0)*1),"")</f>
        <v>48</v>
      </c>
      <c r="B58" s="422">
        <v>41729</v>
      </c>
      <c r="C58" s="428" t="s">
        <v>173</v>
      </c>
      <c r="D58" s="428">
        <f>B58</f>
        <v>41729</v>
      </c>
      <c r="E58" s="429" t="s">
        <v>179</v>
      </c>
      <c r="F58" s="102">
        <f>AR60</f>
        <v>0</v>
      </c>
      <c r="G58" s="430" t="s">
        <v>167</v>
      </c>
      <c r="H58" s="430" t="s">
        <v>163</v>
      </c>
      <c r="I58" s="73">
        <f t="shared" si="43"/>
        <v>48</v>
      </c>
      <c r="J58" s="426">
        <f t="shared" si="1"/>
        <v>0</v>
      </c>
      <c r="K58" s="426">
        <f t="shared" si="2"/>
        <v>0</v>
      </c>
      <c r="L58" s="426">
        <f t="shared" si="3"/>
        <v>0</v>
      </c>
      <c r="M58" s="426">
        <f t="shared" si="4"/>
        <v>0</v>
      </c>
      <c r="N58" s="426">
        <f t="shared" si="5"/>
        <v>0</v>
      </c>
      <c r="O58" s="426">
        <f t="shared" si="6"/>
        <v>0</v>
      </c>
      <c r="P58" s="426">
        <f t="shared" si="7"/>
        <v>0</v>
      </c>
      <c r="Q58" s="426">
        <f t="shared" si="8"/>
        <v>0</v>
      </c>
      <c r="R58" s="426">
        <f t="shared" si="39"/>
        <v>0</v>
      </c>
      <c r="S58" s="426">
        <f t="shared" si="40"/>
        <v>0</v>
      </c>
      <c r="T58" s="426">
        <f t="shared" si="9"/>
        <v>0</v>
      </c>
      <c r="U58" s="426">
        <f t="shared" si="10"/>
        <v>0</v>
      </c>
      <c r="V58" s="426">
        <f t="shared" si="11"/>
        <v>0</v>
      </c>
      <c r="W58" s="426">
        <f t="shared" si="12"/>
        <v>0</v>
      </c>
      <c r="X58" s="426">
        <f t="shared" si="13"/>
        <v>0</v>
      </c>
      <c r="Y58" s="426">
        <f t="shared" si="14"/>
        <v>0</v>
      </c>
      <c r="Z58" s="426">
        <f t="shared" si="15"/>
        <v>0</v>
      </c>
      <c r="AA58" s="426">
        <f t="shared" si="16"/>
        <v>0</v>
      </c>
      <c r="AB58" s="426">
        <f t="shared" si="17"/>
        <v>0</v>
      </c>
      <c r="AC58" s="426">
        <f t="shared" si="18"/>
        <v>0</v>
      </c>
      <c r="AD58" s="426">
        <f t="shared" si="19"/>
        <v>0</v>
      </c>
      <c r="AE58" s="426">
        <f t="shared" si="20"/>
        <v>0</v>
      </c>
      <c r="AF58" s="426">
        <f t="shared" si="21"/>
        <v>0</v>
      </c>
      <c r="AG58" s="426">
        <f t="shared" si="22"/>
        <v>0</v>
      </c>
      <c r="AH58" s="426">
        <f t="shared" si="23"/>
        <v>0</v>
      </c>
      <c r="AI58" s="426">
        <f t="shared" si="24"/>
        <v>0</v>
      </c>
      <c r="AJ58" s="426">
        <f t="shared" si="25"/>
        <v>0</v>
      </c>
      <c r="AK58" s="426">
        <f t="shared" si="26"/>
        <v>0</v>
      </c>
      <c r="AL58" s="426">
        <f t="shared" si="27"/>
        <v>0</v>
      </c>
      <c r="AM58" s="426">
        <f t="shared" si="28"/>
        <v>0</v>
      </c>
      <c r="AN58" s="426">
        <f t="shared" si="29"/>
        <v>0</v>
      </c>
      <c r="AO58" s="426">
        <f t="shared" si="30"/>
        <v>0</v>
      </c>
      <c r="AP58" s="426">
        <f t="shared" si="31"/>
        <v>0</v>
      </c>
      <c r="AQ58" s="426">
        <f t="shared" si="32"/>
        <v>0</v>
      </c>
      <c r="AR58" s="426">
        <f t="shared" si="33"/>
        <v>0</v>
      </c>
      <c r="AS58" s="426">
        <f t="shared" si="34"/>
        <v>0</v>
      </c>
      <c r="AT58" s="426">
        <f t="shared" si="35"/>
        <v>0</v>
      </c>
      <c r="AU58" s="426">
        <f t="shared" si="36"/>
        <v>0</v>
      </c>
      <c r="AV58" s="426">
        <f t="shared" si="37"/>
        <v>0</v>
      </c>
      <c r="AW58" s="426">
        <f t="shared" si="38"/>
        <v>0</v>
      </c>
    </row>
    <row r="59" spans="1:49" s="421" customFormat="1" ht="12.75" customHeight="1">
      <c r="A59" s="73" t="str">
        <f t="array" ref="A59">IF(C59&lt;&gt;0,SUM(($C$11:C59&lt;&gt;0)*1),"")</f>
        <v/>
      </c>
      <c r="B59" s="316"/>
      <c r="C59" s="431"/>
      <c r="D59" s="316"/>
      <c r="E59" s="423"/>
      <c r="F59" s="75"/>
      <c r="G59" s="432"/>
      <c r="H59" s="432"/>
      <c r="I59" s="73" t="str">
        <f t="shared" si="43"/>
        <v/>
      </c>
      <c r="J59" s="426">
        <f t="shared" si="1"/>
        <v>0</v>
      </c>
      <c r="K59" s="426">
        <f t="shared" si="2"/>
        <v>0</v>
      </c>
      <c r="L59" s="426">
        <f t="shared" si="3"/>
        <v>0</v>
      </c>
      <c r="M59" s="426">
        <f t="shared" si="4"/>
        <v>0</v>
      </c>
      <c r="N59" s="426">
        <f t="shared" si="5"/>
        <v>0</v>
      </c>
      <c r="O59" s="426">
        <f t="shared" si="6"/>
        <v>0</v>
      </c>
      <c r="P59" s="426">
        <f t="shared" si="7"/>
        <v>0</v>
      </c>
      <c r="Q59" s="426">
        <f t="shared" si="8"/>
        <v>0</v>
      </c>
      <c r="R59" s="426">
        <f t="shared" si="39"/>
        <v>0</v>
      </c>
      <c r="S59" s="426">
        <f t="shared" si="40"/>
        <v>0</v>
      </c>
      <c r="T59" s="426">
        <f t="shared" si="9"/>
        <v>0</v>
      </c>
      <c r="U59" s="426">
        <f t="shared" si="10"/>
        <v>0</v>
      </c>
      <c r="V59" s="426">
        <f t="shared" si="11"/>
        <v>0</v>
      </c>
      <c r="W59" s="426">
        <f t="shared" si="12"/>
        <v>0</v>
      </c>
      <c r="X59" s="426">
        <f t="shared" si="13"/>
        <v>0</v>
      </c>
      <c r="Y59" s="426">
        <f t="shared" si="14"/>
        <v>0</v>
      </c>
      <c r="Z59" s="426">
        <f t="shared" si="15"/>
        <v>0</v>
      </c>
      <c r="AA59" s="426">
        <f t="shared" si="16"/>
        <v>0</v>
      </c>
      <c r="AB59" s="426">
        <f t="shared" si="17"/>
        <v>0</v>
      </c>
      <c r="AC59" s="426">
        <f t="shared" si="18"/>
        <v>0</v>
      </c>
      <c r="AD59" s="426">
        <f t="shared" si="19"/>
        <v>0</v>
      </c>
      <c r="AE59" s="426">
        <f t="shared" si="20"/>
        <v>0</v>
      </c>
      <c r="AF59" s="426">
        <f t="shared" si="21"/>
        <v>0</v>
      </c>
      <c r="AG59" s="426">
        <f t="shared" si="22"/>
        <v>0</v>
      </c>
      <c r="AH59" s="426">
        <f t="shared" si="23"/>
        <v>0</v>
      </c>
      <c r="AI59" s="426">
        <f t="shared" si="24"/>
        <v>0</v>
      </c>
      <c r="AJ59" s="426">
        <f t="shared" si="25"/>
        <v>0</v>
      </c>
      <c r="AK59" s="426">
        <f t="shared" si="26"/>
        <v>0</v>
      </c>
      <c r="AL59" s="426">
        <f t="shared" si="27"/>
        <v>0</v>
      </c>
      <c r="AM59" s="426">
        <f t="shared" si="28"/>
        <v>0</v>
      </c>
      <c r="AN59" s="426">
        <f t="shared" si="29"/>
        <v>0</v>
      </c>
      <c r="AO59" s="426">
        <f t="shared" si="30"/>
        <v>0</v>
      </c>
      <c r="AP59" s="426">
        <f t="shared" si="31"/>
        <v>0</v>
      </c>
      <c r="AQ59" s="426">
        <f t="shared" si="32"/>
        <v>0</v>
      </c>
      <c r="AR59" s="426">
        <f t="shared" si="33"/>
        <v>0</v>
      </c>
      <c r="AS59" s="426">
        <f t="shared" si="34"/>
        <v>0</v>
      </c>
      <c r="AT59" s="426">
        <f t="shared" si="35"/>
        <v>0</v>
      </c>
      <c r="AU59" s="426">
        <f t="shared" si="36"/>
        <v>0</v>
      </c>
      <c r="AV59" s="426">
        <f t="shared" si="37"/>
        <v>0</v>
      </c>
      <c r="AW59" s="426">
        <f t="shared" si="38"/>
        <v>0</v>
      </c>
    </row>
    <row r="60" spans="1:49" s="421" customFormat="1" ht="12.75" customHeight="1">
      <c r="A60" s="73" t="str">
        <f t="array" ref="A60">IF(C60&lt;&gt;0,SUM(($C$11:C60&lt;&gt;0)*1),"")</f>
        <v/>
      </c>
      <c r="B60" s="433"/>
      <c r="C60" s="433"/>
      <c r="D60" s="433"/>
      <c r="E60" s="423" t="s">
        <v>275</v>
      </c>
      <c r="F60" s="433"/>
      <c r="G60" s="432"/>
      <c r="H60" s="432"/>
      <c r="I60" s="433"/>
      <c r="J60" s="426">
        <f t="shared" ref="J60:AW60" si="44">SUM(J11:J59)</f>
        <v>0</v>
      </c>
      <c r="K60" s="426">
        <f t="shared" si="44"/>
        <v>363200000</v>
      </c>
      <c r="L60" s="426">
        <f t="shared" si="44"/>
        <v>363200000</v>
      </c>
      <c r="M60" s="426">
        <f t="shared" si="44"/>
        <v>362692503</v>
      </c>
      <c r="N60" s="426">
        <f t="shared" si="44"/>
        <v>2750827</v>
      </c>
      <c r="O60" s="426">
        <f t="shared" si="44"/>
        <v>0</v>
      </c>
      <c r="P60" s="426">
        <f t="shared" si="44"/>
        <v>0</v>
      </c>
      <c r="Q60" s="426">
        <f t="shared" si="44"/>
        <v>0</v>
      </c>
      <c r="R60" s="426">
        <f t="shared" si="44"/>
        <v>0</v>
      </c>
      <c r="S60" s="426">
        <f t="shared" si="44"/>
        <v>0</v>
      </c>
      <c r="T60" s="426">
        <f t="shared" si="44"/>
        <v>360853400</v>
      </c>
      <c r="U60" s="426">
        <f t="shared" si="44"/>
        <v>29920000</v>
      </c>
      <c r="V60" s="426">
        <f t="shared" si="44"/>
        <v>0</v>
      </c>
      <c r="W60" s="426">
        <f t="shared" si="44"/>
        <v>0</v>
      </c>
      <c r="X60" s="426">
        <f t="shared" si="44"/>
        <v>0</v>
      </c>
      <c r="Y60" s="426">
        <f t="shared" si="44"/>
        <v>0</v>
      </c>
      <c r="Z60" s="426">
        <f t="shared" si="44"/>
        <v>59500000</v>
      </c>
      <c r="AA60" s="426">
        <f t="shared" si="44"/>
        <v>59500000</v>
      </c>
      <c r="AB60" s="426">
        <f t="shared" si="44"/>
        <v>0</v>
      </c>
      <c r="AC60" s="426">
        <f t="shared" si="44"/>
        <v>0</v>
      </c>
      <c r="AD60" s="426">
        <f t="shared" si="44"/>
        <v>0</v>
      </c>
      <c r="AE60" s="426">
        <f t="shared" si="44"/>
        <v>0</v>
      </c>
      <c r="AF60" s="426">
        <f t="shared" si="44"/>
        <v>2041200</v>
      </c>
      <c r="AG60" s="426">
        <f t="shared" si="44"/>
        <v>0</v>
      </c>
      <c r="AH60" s="426">
        <f t="shared" si="44"/>
        <v>0</v>
      </c>
      <c r="AI60" s="426">
        <f t="shared" si="44"/>
        <v>2041200</v>
      </c>
      <c r="AJ60" s="426">
        <f t="shared" si="44"/>
        <v>0</v>
      </c>
      <c r="AK60" s="426">
        <f t="shared" si="44"/>
        <v>0</v>
      </c>
      <c r="AL60" s="426">
        <f t="shared" si="44"/>
        <v>0</v>
      </c>
      <c r="AM60" s="426">
        <f t="shared" si="44"/>
        <v>0</v>
      </c>
      <c r="AN60" s="426">
        <f t="shared" si="44"/>
        <v>0</v>
      </c>
      <c r="AO60" s="426">
        <f t="shared" si="44"/>
        <v>0</v>
      </c>
      <c r="AP60" s="426">
        <f t="shared" si="44"/>
        <v>0</v>
      </c>
      <c r="AQ60" s="426">
        <f t="shared" si="44"/>
        <v>0</v>
      </c>
      <c r="AR60" s="426">
        <f t="shared" si="44"/>
        <v>0</v>
      </c>
      <c r="AS60" s="426">
        <f t="shared" si="44"/>
        <v>0</v>
      </c>
      <c r="AT60" s="426">
        <f t="shared" si="44"/>
        <v>0</v>
      </c>
      <c r="AU60" s="426">
        <f t="shared" si="44"/>
        <v>0</v>
      </c>
      <c r="AV60" s="426">
        <f t="shared" si="44"/>
        <v>0</v>
      </c>
      <c r="AW60" s="426">
        <f t="shared" si="44"/>
        <v>0</v>
      </c>
    </row>
    <row r="61" spans="1:49" s="421" customFormat="1" ht="12.75" customHeight="1">
      <c r="A61" s="434"/>
      <c r="B61" s="434"/>
      <c r="C61" s="434"/>
      <c r="D61" s="434"/>
      <c r="E61" s="435" t="s">
        <v>328</v>
      </c>
      <c r="F61" s="434"/>
      <c r="G61" s="436"/>
      <c r="H61" s="436"/>
      <c r="I61" s="434"/>
      <c r="J61" s="437">
        <f>MAX(J10+J60-K10-K60,0)</f>
        <v>2661443500</v>
      </c>
      <c r="K61" s="437">
        <f>MAX(K10+K60-J10-J60,0)</f>
        <v>0</v>
      </c>
      <c r="L61" s="437">
        <f>MAX(L10+L60-M10-M60,0)</f>
        <v>1135997</v>
      </c>
      <c r="M61" s="437">
        <f>MAX(M10+M60-L10-L60,0)</f>
        <v>0</v>
      </c>
      <c r="N61" s="437">
        <f>MAX(N10+N60-O10-O60,0)</f>
        <v>2750827</v>
      </c>
      <c r="O61" s="437">
        <f>MAX(O10+O60-N10-N60,0)</f>
        <v>0</v>
      </c>
      <c r="P61" s="437">
        <f>MAX(P10+P60-Q10-Q60,0)</f>
        <v>0</v>
      </c>
      <c r="Q61" s="437">
        <f>MAX(Q10+Q60-P10-P60,0)</f>
        <v>0</v>
      </c>
      <c r="R61" s="437">
        <f>MAX(R10+R60-S10-S60,0)</f>
        <v>0</v>
      </c>
      <c r="S61" s="437">
        <f>MAX(S10+S60-R10-R60,0)</f>
        <v>0</v>
      </c>
      <c r="T61" s="437">
        <f>MAX(T10+T60-U10-U60,0)</f>
        <v>1180933400</v>
      </c>
      <c r="U61" s="437">
        <f>MAX(U10+U60-T10-T60,0)</f>
        <v>0</v>
      </c>
      <c r="V61" s="437">
        <f>MAX(V10+V60-W10-W60,0)</f>
        <v>0</v>
      </c>
      <c r="W61" s="437">
        <f>MAX(W10+W60-V10-V60,0)</f>
        <v>0</v>
      </c>
      <c r="X61" s="437">
        <f>MAX(X10+X60-Y10-Y60,0)</f>
        <v>0</v>
      </c>
      <c r="Y61" s="437">
        <f>MAX(Y10+Y60-X10-X60,0)</f>
        <v>0</v>
      </c>
      <c r="Z61" s="437">
        <f>MAX(Z10+Z60-AA10-AA60,0)</f>
        <v>0</v>
      </c>
      <c r="AA61" s="437">
        <f>MAX(AA10+AA60-Z10-Z60,0)</f>
        <v>0</v>
      </c>
      <c r="AB61" s="437">
        <f>MAX(AB10+AB60-AC10-AC60,0)</f>
        <v>0</v>
      </c>
      <c r="AC61" s="437">
        <f>MAX(AC10+AC60-AB10-AB60,0)</f>
        <v>0</v>
      </c>
      <c r="AD61" s="437">
        <f>MAX(AD10+AD60-AE10-AE60,0)</f>
        <v>0</v>
      </c>
      <c r="AE61" s="437">
        <f>MAX(AE10+AE60-AD10-AD60,0)</f>
        <v>4000000000</v>
      </c>
      <c r="AF61" s="437">
        <f>MAX(AF10+AF60-AG10-AG60,0)</f>
        <v>124728000</v>
      </c>
      <c r="AG61" s="437">
        <f>MAX(AG10+AG60-AF10-AF60,0)</f>
        <v>0</v>
      </c>
      <c r="AH61" s="437">
        <f>MAX(AH10+AH60-AI10-AI60,0)</f>
        <v>0</v>
      </c>
      <c r="AI61" s="437">
        <f>MAX(AI10+AI60-AH10-AH60,0)</f>
        <v>0</v>
      </c>
      <c r="AJ61" s="437">
        <f>MAX(AJ10+AJ60-AK10-AK60,0)</f>
        <v>0</v>
      </c>
      <c r="AK61" s="437">
        <f>MAX(AK10+AK60-AJ10-AJ60,0)</f>
        <v>0</v>
      </c>
      <c r="AL61" s="437">
        <f>MAX(AL10+AL60-AM10-AM60,0)</f>
        <v>0</v>
      </c>
      <c r="AM61" s="437">
        <f>MAX(AM10+AM60-AL10-AL60,0)</f>
        <v>0</v>
      </c>
      <c r="AN61" s="437">
        <f>MAX(AN10+AN60-AO10-AO60,0)</f>
        <v>0</v>
      </c>
      <c r="AO61" s="437">
        <f>MAX(AO10+AO60-AN10-AN60,0)</f>
        <v>0</v>
      </c>
      <c r="AP61" s="437">
        <f>MAX(AP10+AP60-AQ10-AQ60,0)</f>
        <v>0</v>
      </c>
      <c r="AQ61" s="437">
        <f>MAX(AQ10+AQ60-AP10-AP60,0)</f>
        <v>0</v>
      </c>
      <c r="AR61" s="437">
        <f>MAX(AR10+AR60-AS10-AS60,0)</f>
        <v>0</v>
      </c>
      <c r="AS61" s="437">
        <f>MAX(AS10+AS60-AR10-AR60,0)</f>
        <v>0</v>
      </c>
      <c r="AT61" s="437">
        <f>MAX(AT10+AT60-AU10-AU60,0)</f>
        <v>0</v>
      </c>
      <c r="AU61" s="437">
        <f>MAX(AU10+AU60-AT10-AT60,0)</f>
        <v>0</v>
      </c>
      <c r="AV61" s="437">
        <f>MAX(AV10+AV60-AW10-AW60,0)</f>
        <v>0</v>
      </c>
      <c r="AW61" s="437">
        <f>MAX(AW10+AW60-AV10-AV60,0)</f>
        <v>0</v>
      </c>
    </row>
    <row r="62" spans="1:49" s="421" customFormat="1" ht="12.75" customHeight="1">
      <c r="A62" s="438"/>
      <c r="B62" s="438"/>
      <c r="C62" s="439"/>
      <c r="D62" s="438"/>
      <c r="E62" s="440" t="s">
        <v>329</v>
      </c>
      <c r="F62" s="438"/>
      <c r="G62" s="441"/>
      <c r="H62" s="441"/>
      <c r="I62" s="438"/>
      <c r="J62" s="442">
        <f>J60</f>
        <v>0</v>
      </c>
      <c r="K62" s="442">
        <f>K60</f>
        <v>363200000</v>
      </c>
      <c r="L62" s="442">
        <f t="shared" ref="L62:AW62" si="45">L60</f>
        <v>363200000</v>
      </c>
      <c r="M62" s="442">
        <f t="shared" si="45"/>
        <v>362692503</v>
      </c>
      <c r="N62" s="442">
        <f t="shared" si="45"/>
        <v>2750827</v>
      </c>
      <c r="O62" s="442">
        <f t="shared" si="45"/>
        <v>0</v>
      </c>
      <c r="P62" s="442">
        <f t="shared" si="45"/>
        <v>0</v>
      </c>
      <c r="Q62" s="442">
        <f t="shared" si="45"/>
        <v>0</v>
      </c>
      <c r="R62" s="442">
        <f t="shared" si="45"/>
        <v>0</v>
      </c>
      <c r="S62" s="442">
        <f t="shared" si="45"/>
        <v>0</v>
      </c>
      <c r="T62" s="442">
        <f t="shared" si="45"/>
        <v>360853400</v>
      </c>
      <c r="U62" s="442">
        <f t="shared" si="45"/>
        <v>29920000</v>
      </c>
      <c r="V62" s="442">
        <f t="shared" si="45"/>
        <v>0</v>
      </c>
      <c r="W62" s="442">
        <f t="shared" si="45"/>
        <v>0</v>
      </c>
      <c r="X62" s="442">
        <f t="shared" si="45"/>
        <v>0</v>
      </c>
      <c r="Y62" s="442">
        <f t="shared" si="45"/>
        <v>0</v>
      </c>
      <c r="Z62" s="442">
        <f>Z60</f>
        <v>59500000</v>
      </c>
      <c r="AA62" s="442">
        <f t="shared" si="45"/>
        <v>59500000</v>
      </c>
      <c r="AB62" s="442">
        <f t="shared" si="45"/>
        <v>0</v>
      </c>
      <c r="AC62" s="442">
        <f t="shared" si="45"/>
        <v>0</v>
      </c>
      <c r="AD62" s="442">
        <f t="shared" si="45"/>
        <v>0</v>
      </c>
      <c r="AE62" s="442">
        <f t="shared" si="45"/>
        <v>0</v>
      </c>
      <c r="AF62" s="442">
        <f t="shared" si="45"/>
        <v>2041200</v>
      </c>
      <c r="AG62" s="442">
        <f t="shared" si="45"/>
        <v>0</v>
      </c>
      <c r="AH62" s="442">
        <f t="shared" si="45"/>
        <v>0</v>
      </c>
      <c r="AI62" s="442">
        <f t="shared" si="45"/>
        <v>2041200</v>
      </c>
      <c r="AJ62" s="442">
        <f t="shared" si="45"/>
        <v>0</v>
      </c>
      <c r="AK62" s="442">
        <f t="shared" si="45"/>
        <v>0</v>
      </c>
      <c r="AL62" s="442">
        <f t="shared" si="45"/>
        <v>0</v>
      </c>
      <c r="AM62" s="442">
        <f t="shared" si="45"/>
        <v>0</v>
      </c>
      <c r="AN62" s="442">
        <f t="shared" si="45"/>
        <v>0</v>
      </c>
      <c r="AO62" s="442">
        <f t="shared" si="45"/>
        <v>0</v>
      </c>
      <c r="AP62" s="442">
        <f t="shared" si="45"/>
        <v>0</v>
      </c>
      <c r="AQ62" s="442">
        <f t="shared" si="45"/>
        <v>0</v>
      </c>
      <c r="AR62" s="442">
        <f t="shared" si="45"/>
        <v>0</v>
      </c>
      <c r="AS62" s="442">
        <f t="shared" si="45"/>
        <v>0</v>
      </c>
      <c r="AT62" s="442">
        <f>AT60</f>
        <v>0</v>
      </c>
      <c r="AU62" s="442">
        <f>AU60</f>
        <v>0</v>
      </c>
      <c r="AV62" s="442">
        <f t="shared" si="45"/>
        <v>0</v>
      </c>
      <c r="AW62" s="442">
        <f t="shared" si="45"/>
        <v>0</v>
      </c>
    </row>
    <row r="63" spans="1:49" ht="12" customHeight="1">
      <c r="B63" s="443"/>
      <c r="C63" s="444"/>
      <c r="D63" s="444"/>
      <c r="E63" s="444"/>
      <c r="F63" s="444"/>
      <c r="G63" s="445"/>
      <c r="H63" s="445"/>
      <c r="I63" s="444"/>
      <c r="J63" s="444"/>
      <c r="K63" s="444"/>
    </row>
    <row r="64" spans="1:49">
      <c r="F64" s="446"/>
      <c r="M64" s="446"/>
      <c r="O64" s="446"/>
      <c r="P64" s="446"/>
      <c r="Q64" s="446"/>
      <c r="R64" s="446"/>
      <c r="S64" s="446"/>
      <c r="T64" s="446"/>
      <c r="AH64" s="447" t="s">
        <v>330</v>
      </c>
      <c r="AI64" s="448"/>
      <c r="AJ64" s="448"/>
      <c r="AK64" s="448"/>
      <c r="AL64" s="448"/>
      <c r="AM64" s="448"/>
      <c r="AN64" s="449"/>
      <c r="AO64" s="449"/>
      <c r="AP64" s="448"/>
    </row>
    <row r="65" spans="6:48">
      <c r="F65" s="446"/>
      <c r="M65" s="446"/>
      <c r="O65" s="446"/>
      <c r="P65" s="446"/>
      <c r="Q65" s="446"/>
      <c r="R65" s="446"/>
      <c r="S65" s="446"/>
      <c r="T65" s="446"/>
      <c r="AH65" s="450" t="s">
        <v>435</v>
      </c>
      <c r="AI65" s="448"/>
      <c r="AJ65" s="448"/>
      <c r="AK65" s="448"/>
      <c r="AL65" s="448"/>
      <c r="AM65" s="448"/>
      <c r="AN65" s="449"/>
      <c r="AO65" s="449"/>
      <c r="AP65" s="448"/>
    </row>
    <row r="66" spans="6:48">
      <c r="F66" s="446"/>
      <c r="M66" s="446"/>
      <c r="O66" s="446"/>
      <c r="P66" s="446"/>
      <c r="Q66" s="446"/>
      <c r="R66" s="446"/>
      <c r="S66" s="446"/>
      <c r="T66" s="446"/>
      <c r="AH66" s="448"/>
      <c r="AI66" s="448"/>
      <c r="AJ66" s="448"/>
      <c r="AK66" s="448"/>
      <c r="AL66" s="448"/>
      <c r="AM66" s="448"/>
      <c r="AN66" s="448"/>
      <c r="AO66" s="448"/>
      <c r="AP66" s="449"/>
    </row>
    <row r="67" spans="6:48">
      <c r="F67" s="446"/>
      <c r="AH67" s="448"/>
      <c r="AI67" s="448"/>
      <c r="AJ67" s="448"/>
      <c r="AK67" s="448"/>
      <c r="AL67" s="448"/>
      <c r="AM67" s="448"/>
      <c r="AN67" s="448"/>
      <c r="AO67" s="448"/>
      <c r="AP67" s="449"/>
      <c r="AV67" s="451" t="str">
        <f>"Ngày 31 tháng 03 năm 2014 "</f>
        <v xml:space="preserve">Ngày 31 tháng 03 năm 2014 </v>
      </c>
    </row>
    <row r="68" spans="6:48">
      <c r="F68" s="446"/>
      <c r="M68" s="446"/>
      <c r="O68" s="446"/>
      <c r="P68" s="446"/>
      <c r="Q68" s="446"/>
      <c r="R68" s="446"/>
      <c r="S68" s="446"/>
      <c r="T68" s="446"/>
      <c r="AH68" s="448"/>
      <c r="AI68" s="452" t="s">
        <v>13</v>
      </c>
      <c r="AJ68" s="448"/>
      <c r="AK68" s="448"/>
      <c r="AL68" s="448"/>
      <c r="AM68" s="448"/>
      <c r="AN68" s="448"/>
      <c r="AO68" s="453" t="s">
        <v>14</v>
      </c>
      <c r="AP68" s="449"/>
      <c r="AV68" s="452" t="s">
        <v>209</v>
      </c>
    </row>
    <row r="69" spans="6:48">
      <c r="F69" s="446"/>
      <c r="M69" s="446"/>
      <c r="O69" s="446"/>
      <c r="P69" s="446"/>
      <c r="Q69" s="446"/>
      <c r="R69" s="446"/>
      <c r="S69" s="446"/>
      <c r="T69" s="446"/>
      <c r="AH69" s="448"/>
      <c r="AI69" s="454" t="s">
        <v>15</v>
      </c>
      <c r="AJ69" s="448"/>
      <c r="AK69" s="448"/>
      <c r="AL69" s="448"/>
      <c r="AM69" s="448"/>
      <c r="AN69" s="448"/>
      <c r="AO69" s="455" t="s">
        <v>15</v>
      </c>
      <c r="AP69" s="449"/>
      <c r="AV69" s="454" t="s">
        <v>246</v>
      </c>
    </row>
    <row r="70" spans="6:48">
      <c r="F70" s="446"/>
      <c r="M70" s="446"/>
      <c r="O70" s="446"/>
      <c r="P70" s="446"/>
      <c r="Q70" s="446"/>
      <c r="R70" s="446"/>
      <c r="S70" s="446"/>
      <c r="T70" s="446"/>
      <c r="AH70" s="448"/>
      <c r="AI70" s="448"/>
      <c r="AJ70" s="448"/>
      <c r="AK70" s="448"/>
      <c r="AL70" s="448"/>
      <c r="AM70" s="448"/>
      <c r="AN70" s="448"/>
      <c r="AO70" s="448"/>
      <c r="AP70" s="449"/>
      <c r="AV70" s="448"/>
    </row>
    <row r="71" spans="6:48">
      <c r="F71" s="446"/>
      <c r="M71" s="446"/>
      <c r="O71" s="446"/>
      <c r="P71" s="446"/>
      <c r="Q71" s="446"/>
      <c r="R71" s="446"/>
      <c r="S71" s="446"/>
      <c r="T71" s="446"/>
      <c r="AV71" s="448"/>
    </row>
    <row r="72" spans="6:48">
      <c r="F72" s="446"/>
      <c r="M72" s="446"/>
      <c r="O72" s="446"/>
      <c r="P72" s="446"/>
      <c r="Q72" s="446"/>
      <c r="R72" s="446"/>
      <c r="S72" s="446"/>
      <c r="T72" s="446"/>
    </row>
    <row r="73" spans="6:48">
      <c r="F73" s="446"/>
      <c r="M73" s="446"/>
      <c r="O73" s="446"/>
      <c r="P73" s="446"/>
      <c r="Q73" s="446"/>
      <c r="R73" s="446"/>
      <c r="S73" s="446"/>
      <c r="T73" s="446"/>
    </row>
    <row r="74" spans="6:48">
      <c r="F74" s="446"/>
    </row>
    <row r="75" spans="6:48">
      <c r="F75" s="446"/>
      <c r="M75" s="446"/>
      <c r="O75" s="446"/>
      <c r="P75" s="446"/>
      <c r="Q75" s="446"/>
      <c r="R75" s="446"/>
      <c r="S75" s="446"/>
      <c r="T75" s="446"/>
    </row>
    <row r="76" spans="6:48">
      <c r="F76" s="446"/>
      <c r="M76" s="446"/>
      <c r="O76" s="446"/>
      <c r="P76" s="446"/>
      <c r="Q76" s="446"/>
      <c r="R76" s="446"/>
      <c r="S76" s="446"/>
      <c r="T76" s="446"/>
    </row>
    <row r="77" spans="6:48">
      <c r="F77" s="446"/>
      <c r="M77" s="446"/>
      <c r="O77" s="446"/>
      <c r="P77" s="446"/>
      <c r="Q77" s="446"/>
      <c r="R77" s="446"/>
      <c r="S77" s="446"/>
      <c r="T77" s="446"/>
    </row>
    <row r="78" spans="6:48">
      <c r="F78" s="446"/>
      <c r="M78" s="446"/>
      <c r="O78" s="446"/>
      <c r="P78" s="446"/>
      <c r="Q78" s="446"/>
      <c r="R78" s="446"/>
      <c r="S78" s="446"/>
      <c r="T78" s="446"/>
    </row>
    <row r="79" spans="6:48">
      <c r="F79" s="446"/>
      <c r="M79" s="446"/>
      <c r="O79" s="446"/>
      <c r="P79" s="446"/>
      <c r="Q79" s="446"/>
      <c r="R79" s="446"/>
      <c r="S79" s="446"/>
      <c r="T79" s="446"/>
    </row>
    <row r="80" spans="6:48">
      <c r="F80" s="446"/>
      <c r="M80" s="446"/>
      <c r="O80" s="446"/>
      <c r="P80" s="446"/>
      <c r="Q80" s="446"/>
      <c r="R80" s="446"/>
      <c r="S80" s="446"/>
      <c r="T80" s="446"/>
    </row>
    <row r="81" spans="6:20">
      <c r="F81" s="446"/>
      <c r="M81" s="446"/>
      <c r="O81" s="446"/>
      <c r="P81" s="446"/>
      <c r="Q81" s="446"/>
      <c r="R81" s="446"/>
      <c r="S81" s="446"/>
      <c r="T81" s="446"/>
    </row>
    <row r="82" spans="6:20">
      <c r="F82" s="446"/>
      <c r="M82" s="446"/>
      <c r="O82" s="446"/>
      <c r="P82" s="446"/>
      <c r="Q82" s="446"/>
      <c r="R82" s="446"/>
      <c r="S82" s="446"/>
      <c r="T82" s="446"/>
    </row>
    <row r="83" spans="6:20">
      <c r="F83" s="446"/>
      <c r="M83" s="446"/>
      <c r="O83" s="446"/>
      <c r="P83" s="446"/>
      <c r="Q83" s="446"/>
      <c r="R83" s="446"/>
      <c r="S83" s="446"/>
      <c r="T83" s="446"/>
    </row>
    <row r="84" spans="6:20">
      <c r="F84" s="446"/>
      <c r="M84" s="446"/>
      <c r="O84" s="446"/>
      <c r="P84" s="446"/>
      <c r="Q84" s="446"/>
      <c r="R84" s="446"/>
      <c r="S84" s="446"/>
      <c r="T84" s="446"/>
    </row>
    <row r="85" spans="6:20">
      <c r="F85" s="446"/>
      <c r="M85" s="446"/>
      <c r="O85" s="446"/>
      <c r="P85" s="446"/>
      <c r="Q85" s="446"/>
      <c r="R85" s="446"/>
      <c r="S85" s="446"/>
      <c r="T85" s="446"/>
    </row>
    <row r="86" spans="6:20">
      <c r="F86" s="446"/>
      <c r="M86" s="446"/>
      <c r="O86" s="446"/>
      <c r="P86" s="446"/>
      <c r="Q86" s="446"/>
      <c r="R86" s="446"/>
      <c r="S86" s="446"/>
      <c r="T86" s="446"/>
    </row>
    <row r="87" spans="6:20">
      <c r="F87" s="446"/>
      <c r="M87" s="446"/>
      <c r="O87" s="446"/>
      <c r="P87" s="446"/>
      <c r="Q87" s="446"/>
      <c r="R87" s="446"/>
      <c r="S87" s="446"/>
      <c r="T87" s="446"/>
    </row>
    <row r="88" spans="6:20">
      <c r="F88" s="446"/>
      <c r="M88" s="446"/>
      <c r="O88" s="446"/>
      <c r="P88" s="446"/>
      <c r="Q88" s="446"/>
      <c r="R88" s="446"/>
      <c r="S88" s="446"/>
      <c r="T88" s="446"/>
    </row>
    <row r="89" spans="6:20">
      <c r="F89" s="446"/>
      <c r="M89" s="446"/>
      <c r="O89" s="446"/>
      <c r="P89" s="446"/>
      <c r="Q89" s="446"/>
      <c r="R89" s="446"/>
      <c r="S89" s="446"/>
      <c r="T89" s="446"/>
    </row>
    <row r="90" spans="6:20">
      <c r="F90" s="446"/>
      <c r="M90" s="446"/>
      <c r="O90" s="446"/>
      <c r="P90" s="446"/>
      <c r="Q90" s="446"/>
      <c r="R90" s="446"/>
      <c r="S90" s="446"/>
      <c r="T90" s="446"/>
    </row>
    <row r="91" spans="6:20">
      <c r="F91" s="446"/>
      <c r="M91" s="446"/>
      <c r="O91" s="446"/>
      <c r="P91" s="446"/>
      <c r="Q91" s="446"/>
      <c r="R91" s="446"/>
      <c r="S91" s="446"/>
      <c r="T91" s="446"/>
    </row>
    <row r="92" spans="6:20">
      <c r="F92" s="446"/>
      <c r="M92" s="446"/>
      <c r="O92" s="446"/>
      <c r="P92" s="446"/>
      <c r="Q92" s="446"/>
      <c r="R92" s="446"/>
      <c r="S92" s="446"/>
      <c r="T92" s="446"/>
    </row>
    <row r="93" spans="6:20">
      <c r="F93" s="446"/>
      <c r="M93" s="446"/>
      <c r="O93" s="446"/>
      <c r="P93" s="446"/>
      <c r="Q93" s="446"/>
      <c r="R93" s="446"/>
      <c r="S93" s="446"/>
      <c r="T93" s="446"/>
    </row>
    <row r="94" spans="6:20">
      <c r="F94" s="446"/>
      <c r="M94" s="446"/>
      <c r="O94" s="446"/>
      <c r="P94" s="446"/>
      <c r="Q94" s="446"/>
      <c r="R94" s="446"/>
      <c r="S94" s="446"/>
      <c r="T94" s="446"/>
    </row>
    <row r="95" spans="6:20">
      <c r="F95" s="446"/>
      <c r="M95" s="446"/>
      <c r="O95" s="446"/>
      <c r="P95" s="446"/>
      <c r="Q95" s="446"/>
      <c r="R95" s="446"/>
      <c r="S95" s="446"/>
      <c r="T95" s="446"/>
    </row>
    <row r="96" spans="6:20">
      <c r="F96" s="446"/>
      <c r="M96" s="446"/>
      <c r="O96" s="446"/>
      <c r="P96" s="446"/>
      <c r="Q96" s="446"/>
      <c r="R96" s="446"/>
      <c r="S96" s="446"/>
      <c r="T96" s="446"/>
    </row>
    <row r="97" spans="6:20">
      <c r="F97" s="446"/>
      <c r="M97" s="446"/>
      <c r="O97" s="446"/>
      <c r="P97" s="446"/>
      <c r="Q97" s="446"/>
      <c r="R97" s="446"/>
      <c r="S97" s="446"/>
      <c r="T97" s="446"/>
    </row>
    <row r="98" spans="6:20">
      <c r="F98" s="446"/>
      <c r="M98" s="446"/>
      <c r="O98" s="446"/>
      <c r="P98" s="446"/>
      <c r="Q98" s="446"/>
      <c r="R98" s="446"/>
      <c r="S98" s="446"/>
      <c r="T98" s="446"/>
    </row>
    <row r="99" spans="6:20">
      <c r="F99" s="446"/>
      <c r="M99" s="446"/>
      <c r="O99" s="446"/>
      <c r="P99" s="446"/>
      <c r="Q99" s="446"/>
      <c r="R99" s="446"/>
      <c r="S99" s="446"/>
      <c r="T99" s="446"/>
    </row>
    <row r="100" spans="6:20">
      <c r="F100" s="446"/>
      <c r="M100" s="446"/>
      <c r="O100" s="446"/>
      <c r="P100" s="446"/>
      <c r="Q100" s="446"/>
      <c r="R100" s="446"/>
      <c r="S100" s="446"/>
      <c r="T100" s="446"/>
    </row>
    <row r="101" spans="6:20">
      <c r="F101" s="446"/>
      <c r="M101" s="446"/>
      <c r="O101" s="446"/>
      <c r="P101" s="446"/>
      <c r="Q101" s="446"/>
      <c r="R101" s="446"/>
      <c r="S101" s="446"/>
      <c r="T101" s="446"/>
    </row>
    <row r="102" spans="6:20">
      <c r="F102" s="446"/>
      <c r="M102" s="446"/>
      <c r="O102" s="446"/>
      <c r="P102" s="446"/>
      <c r="Q102" s="446"/>
      <c r="R102" s="446"/>
      <c r="S102" s="446"/>
      <c r="T102" s="446"/>
    </row>
    <row r="103" spans="6:20">
      <c r="F103" s="446"/>
      <c r="M103" s="446"/>
      <c r="O103" s="446"/>
      <c r="P103" s="446"/>
      <c r="Q103" s="446"/>
      <c r="R103" s="446"/>
      <c r="S103" s="446"/>
      <c r="T103" s="446"/>
    </row>
    <row r="104" spans="6:20">
      <c r="F104" s="446"/>
      <c r="M104" s="446"/>
      <c r="O104" s="446"/>
      <c r="P104" s="446"/>
      <c r="Q104" s="446"/>
      <c r="R104" s="446"/>
      <c r="S104" s="446"/>
      <c r="T104" s="446"/>
    </row>
    <row r="105" spans="6:20">
      <c r="F105" s="446"/>
      <c r="M105" s="446"/>
      <c r="O105" s="446"/>
      <c r="P105" s="446"/>
      <c r="Q105" s="446"/>
      <c r="R105" s="446"/>
      <c r="S105" s="446"/>
      <c r="T105" s="446"/>
    </row>
    <row r="106" spans="6:20">
      <c r="F106" s="446"/>
      <c r="M106" s="446"/>
      <c r="O106" s="446"/>
      <c r="P106" s="446"/>
      <c r="Q106" s="446"/>
      <c r="R106" s="446"/>
      <c r="S106" s="446"/>
      <c r="T106" s="446"/>
    </row>
    <row r="107" spans="6:20">
      <c r="F107" s="446"/>
      <c r="M107" s="446"/>
      <c r="O107" s="446"/>
      <c r="P107" s="446"/>
      <c r="Q107" s="446"/>
      <c r="R107" s="446"/>
      <c r="S107" s="446"/>
      <c r="T107" s="446"/>
    </row>
    <row r="108" spans="6:20">
      <c r="F108" s="446"/>
      <c r="M108" s="446"/>
      <c r="O108" s="446"/>
      <c r="P108" s="446"/>
      <c r="Q108" s="446"/>
      <c r="R108" s="446"/>
      <c r="S108" s="446"/>
      <c r="T108" s="446"/>
    </row>
    <row r="109" spans="6:20">
      <c r="F109" s="446"/>
      <c r="M109" s="446"/>
      <c r="O109" s="446"/>
      <c r="P109" s="446"/>
      <c r="Q109" s="446"/>
      <c r="R109" s="446"/>
      <c r="S109" s="446"/>
      <c r="T109" s="446"/>
    </row>
    <row r="110" spans="6:20">
      <c r="F110" s="446"/>
      <c r="M110" s="446"/>
      <c r="O110" s="446"/>
      <c r="P110" s="446"/>
      <c r="Q110" s="446"/>
      <c r="R110" s="446"/>
      <c r="S110" s="446"/>
      <c r="T110" s="446"/>
    </row>
    <row r="111" spans="6:20">
      <c r="F111" s="446"/>
      <c r="M111" s="446"/>
      <c r="O111" s="446"/>
      <c r="P111" s="446"/>
      <c r="Q111" s="446"/>
      <c r="R111" s="446"/>
      <c r="S111" s="446"/>
      <c r="T111" s="446"/>
    </row>
    <row r="112" spans="6:20">
      <c r="F112" s="446"/>
      <c r="M112" s="446"/>
      <c r="O112" s="446"/>
      <c r="P112" s="446"/>
      <c r="Q112" s="446"/>
      <c r="R112" s="446"/>
      <c r="S112" s="446"/>
      <c r="T112" s="446"/>
    </row>
    <row r="113" spans="6:20">
      <c r="F113" s="446"/>
      <c r="M113" s="446"/>
      <c r="O113" s="446"/>
      <c r="P113" s="446"/>
      <c r="Q113" s="446"/>
      <c r="R113" s="446"/>
      <c r="S113" s="446"/>
      <c r="T113" s="446"/>
    </row>
    <row r="114" spans="6:20">
      <c r="F114" s="446"/>
      <c r="M114" s="446"/>
      <c r="O114" s="446"/>
      <c r="P114" s="446"/>
      <c r="Q114" s="446"/>
      <c r="R114" s="446"/>
      <c r="S114" s="446"/>
      <c r="T114" s="446"/>
    </row>
    <row r="115" spans="6:20">
      <c r="F115" s="446"/>
      <c r="M115" s="446"/>
      <c r="O115" s="446"/>
      <c r="P115" s="446"/>
      <c r="Q115" s="446"/>
      <c r="R115" s="446"/>
      <c r="S115" s="446"/>
      <c r="T115" s="446"/>
    </row>
    <row r="116" spans="6:20">
      <c r="F116" s="446"/>
      <c r="M116" s="446"/>
      <c r="O116" s="446"/>
      <c r="P116" s="446"/>
      <c r="Q116" s="446"/>
      <c r="R116" s="446"/>
      <c r="S116" s="446"/>
      <c r="T116" s="446"/>
    </row>
    <row r="117" spans="6:20">
      <c r="F117" s="446"/>
      <c r="M117" s="446"/>
      <c r="O117" s="446"/>
      <c r="P117" s="446"/>
      <c r="Q117" s="446"/>
      <c r="R117" s="446"/>
      <c r="S117" s="446"/>
      <c r="T117" s="446"/>
    </row>
    <row r="118" spans="6:20">
      <c r="F118" s="446"/>
      <c r="M118" s="446"/>
      <c r="O118" s="446"/>
      <c r="P118" s="446"/>
      <c r="Q118" s="446"/>
      <c r="R118" s="446"/>
      <c r="S118" s="446"/>
      <c r="T118" s="446"/>
    </row>
    <row r="119" spans="6:20">
      <c r="M119" s="446"/>
      <c r="O119" s="446"/>
      <c r="P119" s="446"/>
      <c r="Q119" s="446"/>
      <c r="R119" s="446"/>
      <c r="S119" s="446"/>
      <c r="T119" s="446"/>
    </row>
    <row r="120" spans="6:20">
      <c r="M120" s="446"/>
      <c r="O120" s="446"/>
      <c r="P120" s="446"/>
      <c r="Q120" s="446"/>
      <c r="R120" s="446"/>
      <c r="S120" s="446"/>
      <c r="T120" s="446"/>
    </row>
  </sheetData>
  <autoFilter ref="A9:AW62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08"/>
  <sheetViews>
    <sheetView topLeftCell="A7" workbookViewId="0">
      <pane xSplit="8" ySplit="5" topLeftCell="AS27" activePane="bottomRight" state="frozen"/>
      <selection activeCell="E170" sqref="E170"/>
      <selection pane="topRight" activeCell="E170" sqref="E170"/>
      <selection pane="bottomLeft" activeCell="E170" sqref="E170"/>
      <selection pane="bottomRight" activeCell="E53" sqref="E53"/>
    </sheetView>
  </sheetViews>
  <sheetFormatPr defaultRowHeight="12.75"/>
  <cols>
    <col min="1" max="1" width="4.85546875" style="399" customWidth="1"/>
    <col min="2" max="2" width="9" style="399" customWidth="1"/>
    <col min="3" max="3" width="7.85546875" style="399" customWidth="1"/>
    <col min="4" max="4" width="9.42578125" style="399" customWidth="1"/>
    <col min="5" max="5" width="53.28515625" style="399" customWidth="1"/>
    <col min="6" max="6" width="14.42578125" style="399" customWidth="1"/>
    <col min="7" max="8" width="5.85546875" style="400" customWidth="1"/>
    <col min="9" max="9" width="4.85546875" style="399" customWidth="1"/>
    <col min="10" max="10" width="15.42578125" style="399" customWidth="1"/>
    <col min="11" max="11" width="15.140625" style="399" customWidth="1"/>
    <col min="12" max="12" width="15" style="399" customWidth="1"/>
    <col min="13" max="13" width="15.5703125" style="399" customWidth="1"/>
    <col min="14" max="14" width="14.28515625" style="399" customWidth="1"/>
    <col min="15" max="15" width="7.85546875" style="399" customWidth="1"/>
    <col min="16" max="16" width="13" style="399" customWidth="1"/>
    <col min="17" max="17" width="12.7109375" style="399" customWidth="1"/>
    <col min="18" max="18" width="14.5703125" style="399" customWidth="1"/>
    <col min="19" max="19" width="6" style="399" customWidth="1"/>
    <col min="20" max="20" width="14.5703125" style="399" customWidth="1"/>
    <col min="21" max="21" width="14" style="399" customWidth="1"/>
    <col min="22" max="22" width="6.5703125" style="399" customWidth="1"/>
    <col min="23" max="23" width="7.42578125" style="399" customWidth="1"/>
    <col min="24" max="25" width="11.140625" style="399" customWidth="1"/>
    <col min="26" max="27" width="12.5703125" style="399" customWidth="1"/>
    <col min="28" max="28" width="5.28515625" style="399" customWidth="1"/>
    <col min="29" max="29" width="15" style="399" customWidth="1"/>
    <col min="30" max="30" width="5.85546875" style="399" customWidth="1"/>
    <col min="31" max="31" width="13.85546875" style="399" customWidth="1"/>
    <col min="32" max="32" width="12.5703125" style="399" customWidth="1"/>
    <col min="33" max="33" width="5.7109375" style="399" customWidth="1"/>
    <col min="34" max="34" width="14.42578125" style="399" customWidth="1"/>
    <col min="35" max="35" width="13.85546875" style="399" customWidth="1"/>
    <col min="36" max="36" width="9.85546875" style="399" customWidth="1"/>
    <col min="37" max="37" width="9.7109375" style="399" customWidth="1"/>
    <col min="38" max="38" width="13.140625" style="399" customWidth="1"/>
    <col min="39" max="39" width="12.5703125" style="399" customWidth="1"/>
    <col min="40" max="41" width="14.28515625" style="399" customWidth="1"/>
    <col min="42" max="42" width="7" style="399" customWidth="1"/>
    <col min="43" max="43" width="7.5703125" style="399" customWidth="1"/>
    <col min="44" max="44" width="4.7109375" style="399" customWidth="1"/>
    <col min="45" max="45" width="9.5703125" style="399" customWidth="1"/>
    <col min="46" max="47" width="12.28515625" style="399" customWidth="1"/>
    <col min="48" max="48" width="15.7109375" style="399" customWidth="1"/>
    <col min="49" max="49" width="15.85546875" style="399" customWidth="1"/>
    <col min="50" max="16384" width="9.140625" style="399"/>
  </cols>
  <sheetData>
    <row r="1" spans="1:49" ht="12.75" customHeight="1">
      <c r="A1" s="395"/>
      <c r="B1" s="396" t="s">
        <v>180</v>
      </c>
      <c r="C1" s="397"/>
      <c r="D1" s="397"/>
      <c r="E1" s="398"/>
      <c r="I1" s="397"/>
      <c r="M1" s="498" t="s">
        <v>303</v>
      </c>
      <c r="N1" s="498"/>
      <c r="O1" s="498"/>
      <c r="P1" s="398"/>
      <c r="V1" s="397"/>
      <c r="W1" s="397"/>
      <c r="X1" s="397"/>
      <c r="Y1" s="397"/>
      <c r="Z1" s="398"/>
      <c r="AA1" s="398"/>
      <c r="AB1" s="398"/>
      <c r="AC1" s="398"/>
      <c r="AD1" s="398"/>
      <c r="AE1" s="398"/>
      <c r="AF1" s="398"/>
      <c r="AG1" s="398"/>
      <c r="AH1" s="397"/>
      <c r="AI1" s="397"/>
      <c r="AJ1" s="397"/>
      <c r="AK1" s="397"/>
      <c r="AL1" s="397"/>
      <c r="AM1" s="397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282</v>
      </c>
      <c r="C2" s="397"/>
      <c r="D2" s="397"/>
      <c r="E2" s="397"/>
      <c r="I2" s="401"/>
      <c r="M2" s="499" t="s">
        <v>304</v>
      </c>
      <c r="N2" s="499"/>
      <c r="O2" s="499"/>
      <c r="P2" s="402"/>
      <c r="V2" s="401"/>
      <c r="W2" s="401"/>
      <c r="X2" s="401"/>
      <c r="Y2" s="401"/>
      <c r="Z2" s="402"/>
      <c r="AA2" s="402"/>
      <c r="AB2" s="402"/>
      <c r="AC2" s="402"/>
      <c r="AD2" s="402"/>
      <c r="AE2" s="402"/>
      <c r="AF2" s="402"/>
      <c r="AG2" s="402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499"/>
      <c r="N3" s="499"/>
      <c r="O3" s="499"/>
      <c r="P3" s="402"/>
      <c r="V3" s="401"/>
      <c r="W3" s="401"/>
      <c r="X3" s="401"/>
      <c r="Y3" s="401"/>
      <c r="Z3" s="402"/>
      <c r="AA3" s="402"/>
      <c r="AB3" s="402"/>
      <c r="AC3" s="402"/>
      <c r="AD3" s="402"/>
      <c r="AE3" s="402"/>
      <c r="AF3" s="402"/>
      <c r="AG3" s="402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00" t="s">
        <v>170</v>
      </c>
      <c r="C4" s="500"/>
      <c r="D4" s="500"/>
      <c r="E4" s="500"/>
      <c r="F4" s="500"/>
      <c r="G4" s="500"/>
      <c r="H4" s="500"/>
      <c r="I4" s="500"/>
      <c r="J4" s="500"/>
      <c r="K4" s="500"/>
      <c r="L4" s="500"/>
      <c r="M4" s="500"/>
      <c r="N4" s="500"/>
      <c r="O4" s="500"/>
      <c r="P4" s="500"/>
      <c r="Q4" s="404"/>
      <c r="R4" s="404"/>
      <c r="S4" s="404"/>
      <c r="T4" s="404"/>
      <c r="U4" s="404"/>
      <c r="V4" s="405"/>
      <c r="W4" s="405"/>
      <c r="X4" s="406"/>
      <c r="Y4" s="406"/>
      <c r="Z4" s="404"/>
      <c r="AA4" s="404"/>
      <c r="AB4" s="404"/>
      <c r="AC4" s="404"/>
      <c r="AD4" s="404"/>
      <c r="AE4" s="404"/>
      <c r="AF4" s="404"/>
      <c r="AG4" s="404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01" t="s">
        <v>431</v>
      </c>
      <c r="C5" s="501"/>
      <c r="D5" s="501"/>
      <c r="E5" s="501"/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407"/>
      <c r="R5" s="407"/>
      <c r="S5" s="407"/>
      <c r="T5" s="407"/>
      <c r="U5" s="407"/>
      <c r="V5" s="408"/>
      <c r="W5" s="408"/>
      <c r="Z5" s="407"/>
      <c r="AA5" s="407"/>
      <c r="AB5" s="407"/>
      <c r="AC5" s="407"/>
      <c r="AD5" s="407"/>
      <c r="AE5" s="407"/>
      <c r="AF5" s="407"/>
      <c r="AG5" s="407"/>
    </row>
    <row r="6" spans="1:49">
      <c r="N6" s="399" t="s">
        <v>233</v>
      </c>
    </row>
    <row r="7" spans="1:49" ht="13.5" customHeight="1">
      <c r="A7" s="502" t="s">
        <v>50</v>
      </c>
      <c r="B7" s="496" t="s">
        <v>30</v>
      </c>
      <c r="C7" s="504" t="s">
        <v>1</v>
      </c>
      <c r="D7" s="505"/>
      <c r="E7" s="496" t="s">
        <v>0</v>
      </c>
      <c r="F7" s="496" t="s">
        <v>171</v>
      </c>
      <c r="G7" s="506" t="s">
        <v>172</v>
      </c>
      <c r="H7" s="506"/>
      <c r="I7" s="497" t="s">
        <v>50</v>
      </c>
      <c r="J7" s="496" t="s">
        <v>305</v>
      </c>
      <c r="K7" s="496"/>
      <c r="L7" s="496" t="s">
        <v>306</v>
      </c>
      <c r="M7" s="496"/>
      <c r="N7" s="496" t="s">
        <v>307</v>
      </c>
      <c r="O7" s="496"/>
      <c r="P7" s="496" t="s">
        <v>308</v>
      </c>
      <c r="Q7" s="496"/>
      <c r="R7" s="496" t="s">
        <v>309</v>
      </c>
      <c r="S7" s="496"/>
      <c r="T7" s="496" t="s">
        <v>310</v>
      </c>
      <c r="U7" s="496"/>
      <c r="V7" s="496" t="s">
        <v>311</v>
      </c>
      <c r="W7" s="496"/>
      <c r="X7" s="496" t="s">
        <v>312</v>
      </c>
      <c r="Y7" s="496"/>
      <c r="Z7" s="496" t="s">
        <v>313</v>
      </c>
      <c r="AA7" s="496"/>
      <c r="AB7" s="496" t="s">
        <v>314</v>
      </c>
      <c r="AC7" s="496"/>
      <c r="AD7" s="496" t="s">
        <v>315</v>
      </c>
      <c r="AE7" s="496"/>
      <c r="AF7" s="496" t="s">
        <v>316</v>
      </c>
      <c r="AG7" s="496"/>
      <c r="AH7" s="496" t="s">
        <v>317</v>
      </c>
      <c r="AI7" s="496"/>
      <c r="AJ7" s="496" t="s">
        <v>318</v>
      </c>
      <c r="AK7" s="496"/>
      <c r="AL7" s="496" t="s">
        <v>319</v>
      </c>
      <c r="AM7" s="496"/>
      <c r="AN7" s="496" t="s">
        <v>320</v>
      </c>
      <c r="AO7" s="496"/>
      <c r="AP7" s="496" t="s">
        <v>321</v>
      </c>
      <c r="AQ7" s="496"/>
      <c r="AR7" s="496" t="s">
        <v>322</v>
      </c>
      <c r="AS7" s="496"/>
      <c r="AT7" s="496" t="s">
        <v>323</v>
      </c>
      <c r="AU7" s="496"/>
      <c r="AV7" s="496" t="s">
        <v>324</v>
      </c>
      <c r="AW7" s="496"/>
    </row>
    <row r="8" spans="1:49" ht="22.5" customHeight="1">
      <c r="A8" s="503"/>
      <c r="B8" s="496"/>
      <c r="C8" s="410" t="s">
        <v>19</v>
      </c>
      <c r="D8" s="409" t="s">
        <v>42</v>
      </c>
      <c r="E8" s="496"/>
      <c r="F8" s="496"/>
      <c r="G8" s="411" t="s">
        <v>32</v>
      </c>
      <c r="H8" s="411" t="s">
        <v>33</v>
      </c>
      <c r="I8" s="497"/>
      <c r="J8" s="409" t="s">
        <v>32</v>
      </c>
      <c r="K8" s="409" t="s">
        <v>33</v>
      </c>
      <c r="L8" s="409" t="s">
        <v>32</v>
      </c>
      <c r="M8" s="409" t="s">
        <v>33</v>
      </c>
      <c r="N8" s="409" t="s">
        <v>32</v>
      </c>
      <c r="O8" s="409" t="s">
        <v>33</v>
      </c>
      <c r="P8" s="409" t="s">
        <v>32</v>
      </c>
      <c r="Q8" s="409" t="s">
        <v>33</v>
      </c>
      <c r="R8" s="409" t="s">
        <v>32</v>
      </c>
      <c r="S8" s="409" t="s">
        <v>33</v>
      </c>
      <c r="T8" s="409" t="s">
        <v>32</v>
      </c>
      <c r="U8" s="409" t="s">
        <v>33</v>
      </c>
      <c r="V8" s="409" t="s">
        <v>32</v>
      </c>
      <c r="W8" s="409" t="s">
        <v>33</v>
      </c>
      <c r="X8" s="409" t="s">
        <v>32</v>
      </c>
      <c r="Y8" s="409" t="s">
        <v>33</v>
      </c>
      <c r="Z8" s="409" t="s">
        <v>32</v>
      </c>
      <c r="AA8" s="409" t="s">
        <v>33</v>
      </c>
      <c r="AB8" s="409" t="s">
        <v>32</v>
      </c>
      <c r="AC8" s="409" t="s">
        <v>33</v>
      </c>
      <c r="AD8" s="409" t="s">
        <v>32</v>
      </c>
      <c r="AE8" s="409" t="s">
        <v>33</v>
      </c>
      <c r="AF8" s="409" t="s">
        <v>32</v>
      </c>
      <c r="AG8" s="409" t="s">
        <v>33</v>
      </c>
      <c r="AH8" s="409" t="s">
        <v>32</v>
      </c>
      <c r="AI8" s="409" t="s">
        <v>33</v>
      </c>
      <c r="AJ8" s="409" t="s">
        <v>32</v>
      </c>
      <c r="AK8" s="409" t="s">
        <v>33</v>
      </c>
      <c r="AL8" s="409" t="s">
        <v>32</v>
      </c>
      <c r="AM8" s="409" t="s">
        <v>33</v>
      </c>
      <c r="AN8" s="409" t="s">
        <v>32</v>
      </c>
      <c r="AO8" s="409" t="s">
        <v>33</v>
      </c>
      <c r="AP8" s="409" t="s">
        <v>32</v>
      </c>
      <c r="AQ8" s="409" t="s">
        <v>33</v>
      </c>
      <c r="AR8" s="409" t="s">
        <v>32</v>
      </c>
      <c r="AS8" s="409" t="s">
        <v>33</v>
      </c>
      <c r="AT8" s="409" t="s">
        <v>32</v>
      </c>
      <c r="AU8" s="409" t="s">
        <v>33</v>
      </c>
      <c r="AV8" s="409" t="s">
        <v>32</v>
      </c>
      <c r="AW8" s="409" t="s">
        <v>33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73" t="str">
        <f t="array" ref="A10">IF(C10&lt;&gt;0,SUM(($C10:C$23&lt;&gt;0)*1),"")</f>
        <v/>
      </c>
      <c r="B10" s="414"/>
      <c r="C10" s="415"/>
      <c r="D10" s="414"/>
      <c r="E10" s="416" t="s">
        <v>273</v>
      </c>
      <c r="F10" s="417"/>
      <c r="G10" s="418"/>
      <c r="H10" s="418"/>
      <c r="I10" s="419"/>
      <c r="J10" s="420">
        <f>'01-03'!J61</f>
        <v>2661443500</v>
      </c>
      <c r="K10" s="420">
        <f>'01-03'!K61</f>
        <v>0</v>
      </c>
      <c r="L10" s="420">
        <f>'01-03'!L61</f>
        <v>1135997</v>
      </c>
      <c r="M10" s="420">
        <f>'01-03'!M61</f>
        <v>0</v>
      </c>
      <c r="N10" s="420">
        <f>'01-03'!N61</f>
        <v>2750827</v>
      </c>
      <c r="O10" s="420">
        <f>'01-03'!O61</f>
        <v>0</v>
      </c>
      <c r="P10" s="420">
        <f>'01-03'!P61</f>
        <v>0</v>
      </c>
      <c r="Q10" s="420">
        <f>'01-03'!Q61</f>
        <v>0</v>
      </c>
      <c r="R10" s="420">
        <f>'01-03'!R61</f>
        <v>0</v>
      </c>
      <c r="S10" s="420">
        <f>'01-03'!S61</f>
        <v>0</v>
      </c>
      <c r="T10" s="420">
        <f>'01-03'!T61</f>
        <v>1180933400</v>
      </c>
      <c r="U10" s="420">
        <f>'01-03'!U61</f>
        <v>0</v>
      </c>
      <c r="V10" s="420">
        <f>'01-03'!V61</f>
        <v>0</v>
      </c>
      <c r="W10" s="420">
        <f>'01-03'!W61</f>
        <v>0</v>
      </c>
      <c r="X10" s="420">
        <f>'01-03'!X61</f>
        <v>0</v>
      </c>
      <c r="Y10" s="420">
        <f>'01-03'!Y61</f>
        <v>0</v>
      </c>
      <c r="Z10" s="420">
        <f>'01-03'!Z61</f>
        <v>0</v>
      </c>
      <c r="AA10" s="420">
        <f>'01-03'!AA61</f>
        <v>0</v>
      </c>
      <c r="AB10" s="420">
        <f>'01-03'!AB61</f>
        <v>0</v>
      </c>
      <c r="AC10" s="420">
        <f>'01-03'!AC61</f>
        <v>0</v>
      </c>
      <c r="AD10" s="420">
        <f>'01-03'!AD61</f>
        <v>0</v>
      </c>
      <c r="AE10" s="420">
        <f>'01-03'!AE61</f>
        <v>4000000000</v>
      </c>
      <c r="AF10" s="420">
        <f>'01-03'!AF61</f>
        <v>124728000</v>
      </c>
      <c r="AG10" s="420">
        <f>'01-03'!AG61</f>
        <v>0</v>
      </c>
      <c r="AH10" s="420">
        <f>'01-03'!AH61</f>
        <v>0</v>
      </c>
      <c r="AI10" s="420">
        <f>'01-03'!AI61</f>
        <v>0</v>
      </c>
      <c r="AJ10" s="420">
        <f>'01-03'!AJ61</f>
        <v>0</v>
      </c>
      <c r="AK10" s="420">
        <f>'01-03'!AK61</f>
        <v>0</v>
      </c>
      <c r="AL10" s="420">
        <f>'01-03'!AL61</f>
        <v>0</v>
      </c>
      <c r="AM10" s="420">
        <f>'01-03'!AM61</f>
        <v>0</v>
      </c>
      <c r="AN10" s="420">
        <f>'01-03'!AN61</f>
        <v>0</v>
      </c>
      <c r="AO10" s="420">
        <f>'01-03'!AO61</f>
        <v>0</v>
      </c>
      <c r="AP10" s="420">
        <f>'01-03'!AP61</f>
        <v>0</v>
      </c>
      <c r="AQ10" s="420">
        <f>'01-03'!AQ61</f>
        <v>0</v>
      </c>
      <c r="AR10" s="420">
        <f>'01-03'!AR61</f>
        <v>0</v>
      </c>
      <c r="AS10" s="420">
        <f>'01-03'!AS61</f>
        <v>0</v>
      </c>
      <c r="AT10" s="420">
        <f>'01-03'!AT61</f>
        <v>0</v>
      </c>
      <c r="AU10" s="420">
        <f>'01-03'!AU61</f>
        <v>0</v>
      </c>
      <c r="AV10" s="420">
        <f>'01-03'!AV61</f>
        <v>0</v>
      </c>
      <c r="AW10" s="420">
        <f>'01-03'!AW61</f>
        <v>0</v>
      </c>
    </row>
    <row r="11" spans="1:49" s="421" customFormat="1" ht="12" customHeight="1">
      <c r="A11" s="73">
        <f t="array" ref="A11">IF(C11&lt;&gt;0,SUM(($C$11:C11&lt;&gt;0)*1),"")</f>
        <v>1</v>
      </c>
      <c r="B11" s="422">
        <v>41743</v>
      </c>
      <c r="C11" s="316" t="s">
        <v>221</v>
      </c>
      <c r="D11" s="316">
        <v>41743</v>
      </c>
      <c r="E11" s="423" t="s">
        <v>397</v>
      </c>
      <c r="F11" s="75">
        <v>55000000</v>
      </c>
      <c r="G11" s="425" t="s">
        <v>248</v>
      </c>
      <c r="H11" s="425" t="s">
        <v>9</v>
      </c>
      <c r="I11" s="73">
        <f t="shared" ref="I11:I12" si="0">A11</f>
        <v>1</v>
      </c>
      <c r="J11" s="426">
        <f t="shared" ref="J11:J37" si="1">IF($G11="1111",$F11,0)</f>
        <v>0</v>
      </c>
      <c r="K11" s="426">
        <f t="shared" ref="K11:K37" si="2">IF($H11="1111",$F11,0)</f>
        <v>0</v>
      </c>
      <c r="L11" s="426">
        <f t="shared" ref="L11:L37" si="3">IF($G11="1121",$F11,0)</f>
        <v>0</v>
      </c>
      <c r="M11" s="426">
        <f t="shared" ref="M11:M37" si="4">IF($H11="1121",$F11,0)</f>
        <v>0</v>
      </c>
      <c r="N11" s="426">
        <f t="shared" ref="N11:N37" si="5">IF($G11="1331",$F11,0)</f>
        <v>0</v>
      </c>
      <c r="O11" s="426">
        <f t="shared" ref="O11:O37" si="6">IF($H11="1331",$F11,0)</f>
        <v>0</v>
      </c>
      <c r="P11" s="426">
        <f t="shared" ref="P11:P37" si="7">IF($G11="1388",$F11,0)</f>
        <v>0</v>
      </c>
      <c r="Q11" s="426">
        <f t="shared" ref="Q11:Q37" si="8">IF($H11="1388",$F11,0)</f>
        <v>0</v>
      </c>
      <c r="R11" s="426">
        <f>IF($G11="2412",$F11,0)</f>
        <v>55000000</v>
      </c>
      <c r="S11" s="426">
        <f>IF($H11="2412",$F11,0)</f>
        <v>0</v>
      </c>
      <c r="T11" s="426">
        <f t="shared" ref="T11:T37" si="9">IF($G11="331",$F11,0)</f>
        <v>0</v>
      </c>
      <c r="U11" s="426">
        <f t="shared" ref="U11:U37" si="10">IF($H11="331",$F11,0)</f>
        <v>55000000</v>
      </c>
      <c r="V11" s="426">
        <f t="shared" ref="V11:V37" si="11">IF($G11="3334",$F11,0)</f>
        <v>0</v>
      </c>
      <c r="W11" s="426">
        <f t="shared" ref="W11:W37" si="12">IF($H11="3334",$F11,0)</f>
        <v>0</v>
      </c>
      <c r="X11" s="426">
        <f t="shared" ref="X11:X37" si="13">IF($G11="33382",$F11,0)</f>
        <v>0</v>
      </c>
      <c r="Y11" s="426">
        <f t="shared" ref="Y11:Y37" si="14">IF($H11="33382",$F11,0)</f>
        <v>0</v>
      </c>
      <c r="Z11" s="426">
        <f t="shared" ref="Z11:Z37" si="15">IF($G11="3388",$F11,0)</f>
        <v>0</v>
      </c>
      <c r="AA11" s="426">
        <f t="shared" ref="AA11:AA37" si="16">IF($H11="3388",$F11,0)</f>
        <v>0</v>
      </c>
      <c r="AB11" s="426">
        <f t="shared" ref="AB11:AB37" si="17">IF($G11="3411",$F11,0)</f>
        <v>0</v>
      </c>
      <c r="AC11" s="426">
        <f t="shared" ref="AC11:AC37" si="18">IF($H11="3411",$F11,0)</f>
        <v>0</v>
      </c>
      <c r="AD11" s="426">
        <f t="shared" ref="AD11:AD37" si="19">IF($G11="4111",$F11,0)</f>
        <v>0</v>
      </c>
      <c r="AE11" s="426">
        <f t="shared" ref="AE11:AE37" si="20">IF($H11="4111",$F11,0)</f>
        <v>0</v>
      </c>
      <c r="AF11" s="426">
        <f t="shared" ref="AF11:AF37" si="21">IF($G11="4211",$F11,0)</f>
        <v>0</v>
      </c>
      <c r="AG11" s="426">
        <f t="shared" ref="AG11:AG37" si="22">IF($H11="4211",$F11,0)</f>
        <v>0</v>
      </c>
      <c r="AH11" s="426">
        <f t="shared" ref="AH11:AH37" si="23">IF($G11="4212",$F11,0)</f>
        <v>0</v>
      </c>
      <c r="AI11" s="426">
        <f t="shared" ref="AI11:AI37" si="24">IF($H11="4212",$F11,0)</f>
        <v>0</v>
      </c>
      <c r="AJ11" s="426">
        <f t="shared" ref="AJ11:AJ37" si="25">IF($G11="515",$F11,0)</f>
        <v>0</v>
      </c>
      <c r="AK11" s="426">
        <f t="shared" ref="AK11:AK37" si="26">IF($H11="515",$F11,0)</f>
        <v>0</v>
      </c>
      <c r="AL11" s="426">
        <f t="shared" ref="AL11:AL37" si="27">IF($G11="635",$F11,0)</f>
        <v>0</v>
      </c>
      <c r="AM11" s="426">
        <f t="shared" ref="AM11:AM37" si="28">IF($H11="635",$F11,0)</f>
        <v>0</v>
      </c>
      <c r="AN11" s="426">
        <f t="shared" ref="AN11:AN37" si="29">IF($G11="642",$F11,0)</f>
        <v>0</v>
      </c>
      <c r="AO11" s="426">
        <f t="shared" ref="AO11:AO37" si="30">IF($H11="642",$F11,0)</f>
        <v>0</v>
      </c>
      <c r="AP11" s="426">
        <f t="shared" ref="AP11:AP37" si="31">IF($G11="711",$F11,0)</f>
        <v>0</v>
      </c>
      <c r="AQ11" s="426">
        <f t="shared" ref="AQ11:AQ37" si="32">IF($H11="711",$F11,0)</f>
        <v>0</v>
      </c>
      <c r="AR11" s="426">
        <f t="shared" ref="AR11:AR37" si="33">IF($G11="811",$F11,0)</f>
        <v>0</v>
      </c>
      <c r="AS11" s="426">
        <f t="shared" ref="AS11:AS37" si="34">IF($H11="811",$F11,0)</f>
        <v>0</v>
      </c>
      <c r="AT11" s="426">
        <f t="shared" ref="AT11:AT37" si="35">IF($G11="821",$F11,0)</f>
        <v>0</v>
      </c>
      <c r="AU11" s="426">
        <f t="shared" ref="AU11:AU37" si="36">IF($H11="821",$F11,0)</f>
        <v>0</v>
      </c>
      <c r="AV11" s="426">
        <f t="shared" ref="AV11:AV37" si="37">IF($G11="911",$F11,0)</f>
        <v>0</v>
      </c>
      <c r="AW11" s="426">
        <f t="shared" ref="AW11:AW37" si="38">IF($H11="911",$F11,0)</f>
        <v>0</v>
      </c>
    </row>
    <row r="12" spans="1:49" s="421" customFormat="1" ht="12" customHeight="1">
      <c r="A12" s="73">
        <f t="array" ref="A12">IF(C12&lt;&gt;0,SUM(($C$11:C12&lt;&gt;0)*1),"")</f>
        <v>2</v>
      </c>
      <c r="B12" s="422">
        <v>41743</v>
      </c>
      <c r="C12" s="316" t="s">
        <v>221</v>
      </c>
      <c r="D12" s="316">
        <v>41743</v>
      </c>
      <c r="E12" s="423" t="s">
        <v>398</v>
      </c>
      <c r="F12" s="75">
        <v>5500000</v>
      </c>
      <c r="G12" s="425" t="s">
        <v>10</v>
      </c>
      <c r="H12" s="425" t="s">
        <v>9</v>
      </c>
      <c r="I12" s="73">
        <f t="shared" si="0"/>
        <v>2</v>
      </c>
      <c r="J12" s="426">
        <f t="shared" si="1"/>
        <v>0</v>
      </c>
      <c r="K12" s="426">
        <f t="shared" si="2"/>
        <v>0</v>
      </c>
      <c r="L12" s="426">
        <f t="shared" si="3"/>
        <v>0</v>
      </c>
      <c r="M12" s="426">
        <f t="shared" si="4"/>
        <v>0</v>
      </c>
      <c r="N12" s="426">
        <f t="shared" si="5"/>
        <v>5500000</v>
      </c>
      <c r="O12" s="426">
        <f t="shared" si="6"/>
        <v>0</v>
      </c>
      <c r="P12" s="426">
        <f t="shared" si="7"/>
        <v>0</v>
      </c>
      <c r="Q12" s="426">
        <f t="shared" si="8"/>
        <v>0</v>
      </c>
      <c r="R12" s="426">
        <f t="shared" ref="R12:R37" si="39">IF($G12="2412",$F12,0)</f>
        <v>0</v>
      </c>
      <c r="S12" s="426">
        <f t="shared" ref="S12:S37" si="40">IF($H12="2412",$F12,0)</f>
        <v>0</v>
      </c>
      <c r="T12" s="426">
        <f t="shared" si="9"/>
        <v>0</v>
      </c>
      <c r="U12" s="426">
        <f t="shared" si="10"/>
        <v>5500000</v>
      </c>
      <c r="V12" s="426">
        <f t="shared" si="11"/>
        <v>0</v>
      </c>
      <c r="W12" s="426">
        <f t="shared" si="12"/>
        <v>0</v>
      </c>
      <c r="X12" s="426">
        <f t="shared" si="13"/>
        <v>0</v>
      </c>
      <c r="Y12" s="426">
        <f t="shared" si="14"/>
        <v>0</v>
      </c>
      <c r="Z12" s="426">
        <f t="shared" si="15"/>
        <v>0</v>
      </c>
      <c r="AA12" s="426">
        <f t="shared" si="16"/>
        <v>0</v>
      </c>
      <c r="AB12" s="426">
        <f t="shared" si="17"/>
        <v>0</v>
      </c>
      <c r="AC12" s="426">
        <f t="shared" si="18"/>
        <v>0</v>
      </c>
      <c r="AD12" s="426">
        <f t="shared" si="19"/>
        <v>0</v>
      </c>
      <c r="AE12" s="426">
        <f t="shared" si="20"/>
        <v>0</v>
      </c>
      <c r="AF12" s="426">
        <f t="shared" si="21"/>
        <v>0</v>
      </c>
      <c r="AG12" s="426">
        <f t="shared" si="22"/>
        <v>0</v>
      </c>
      <c r="AH12" s="426">
        <f t="shared" si="23"/>
        <v>0</v>
      </c>
      <c r="AI12" s="426">
        <f t="shared" si="24"/>
        <v>0</v>
      </c>
      <c r="AJ12" s="426">
        <f t="shared" si="25"/>
        <v>0</v>
      </c>
      <c r="AK12" s="426">
        <f t="shared" si="26"/>
        <v>0</v>
      </c>
      <c r="AL12" s="426">
        <f t="shared" si="27"/>
        <v>0</v>
      </c>
      <c r="AM12" s="426">
        <f t="shared" si="28"/>
        <v>0</v>
      </c>
      <c r="AN12" s="426">
        <f t="shared" si="29"/>
        <v>0</v>
      </c>
      <c r="AO12" s="426">
        <f t="shared" si="30"/>
        <v>0</v>
      </c>
      <c r="AP12" s="426">
        <f t="shared" si="31"/>
        <v>0</v>
      </c>
      <c r="AQ12" s="426">
        <f t="shared" si="32"/>
        <v>0</v>
      </c>
      <c r="AR12" s="426">
        <f t="shared" si="33"/>
        <v>0</v>
      </c>
      <c r="AS12" s="426">
        <f t="shared" si="34"/>
        <v>0</v>
      </c>
      <c r="AT12" s="426">
        <f t="shared" si="35"/>
        <v>0</v>
      </c>
      <c r="AU12" s="426">
        <f t="shared" si="36"/>
        <v>0</v>
      </c>
      <c r="AV12" s="426">
        <f t="shared" si="37"/>
        <v>0</v>
      </c>
      <c r="AW12" s="426">
        <f t="shared" si="38"/>
        <v>0</v>
      </c>
    </row>
    <row r="13" spans="1:49" s="421" customFormat="1" ht="12" customHeight="1">
      <c r="A13" s="73">
        <f t="array" ref="A13">IF(C13&lt;&gt;0,SUM(($C$11:C13&lt;&gt;0)*1),"")</f>
        <v>3</v>
      </c>
      <c r="B13" s="422">
        <v>41775</v>
      </c>
      <c r="C13" s="316" t="s">
        <v>11</v>
      </c>
      <c r="D13" s="316">
        <v>41775</v>
      </c>
      <c r="E13" s="423" t="s">
        <v>333</v>
      </c>
      <c r="F13" s="75">
        <v>33000000</v>
      </c>
      <c r="G13" s="425" t="s">
        <v>34</v>
      </c>
      <c r="H13" s="425" t="s">
        <v>23</v>
      </c>
      <c r="I13" s="73">
        <f>A13</f>
        <v>3</v>
      </c>
      <c r="J13" s="426">
        <f t="shared" si="1"/>
        <v>0</v>
      </c>
      <c r="K13" s="426">
        <f t="shared" si="2"/>
        <v>0</v>
      </c>
      <c r="L13" s="426">
        <f t="shared" si="3"/>
        <v>33000000</v>
      </c>
      <c r="M13" s="426">
        <f t="shared" si="4"/>
        <v>0</v>
      </c>
      <c r="N13" s="426">
        <f t="shared" si="5"/>
        <v>0</v>
      </c>
      <c r="O13" s="426">
        <f t="shared" si="6"/>
        <v>0</v>
      </c>
      <c r="P13" s="426">
        <f t="shared" si="7"/>
        <v>0</v>
      </c>
      <c r="Q13" s="426">
        <f t="shared" si="8"/>
        <v>0</v>
      </c>
      <c r="R13" s="426">
        <f t="shared" si="39"/>
        <v>0</v>
      </c>
      <c r="S13" s="426">
        <f t="shared" si="40"/>
        <v>0</v>
      </c>
      <c r="T13" s="426">
        <f t="shared" si="9"/>
        <v>0</v>
      </c>
      <c r="U13" s="426">
        <f t="shared" si="10"/>
        <v>0</v>
      </c>
      <c r="V13" s="426">
        <f t="shared" si="11"/>
        <v>0</v>
      </c>
      <c r="W13" s="426">
        <f t="shared" si="12"/>
        <v>0</v>
      </c>
      <c r="X13" s="426">
        <f t="shared" si="13"/>
        <v>0</v>
      </c>
      <c r="Y13" s="426">
        <f t="shared" si="14"/>
        <v>0</v>
      </c>
      <c r="Z13" s="426">
        <f t="shared" si="15"/>
        <v>0</v>
      </c>
      <c r="AA13" s="426">
        <f t="shared" si="16"/>
        <v>33000000</v>
      </c>
      <c r="AB13" s="426">
        <f t="shared" si="17"/>
        <v>0</v>
      </c>
      <c r="AC13" s="426">
        <f t="shared" si="18"/>
        <v>0</v>
      </c>
      <c r="AD13" s="426">
        <f t="shared" si="19"/>
        <v>0</v>
      </c>
      <c r="AE13" s="426">
        <f t="shared" si="20"/>
        <v>0</v>
      </c>
      <c r="AF13" s="426">
        <f t="shared" si="21"/>
        <v>0</v>
      </c>
      <c r="AG13" s="426">
        <f t="shared" si="22"/>
        <v>0</v>
      </c>
      <c r="AH13" s="426">
        <f t="shared" si="23"/>
        <v>0</v>
      </c>
      <c r="AI13" s="426">
        <f t="shared" si="24"/>
        <v>0</v>
      </c>
      <c r="AJ13" s="426">
        <f t="shared" si="25"/>
        <v>0</v>
      </c>
      <c r="AK13" s="426">
        <f t="shared" si="26"/>
        <v>0</v>
      </c>
      <c r="AL13" s="426">
        <f t="shared" si="27"/>
        <v>0</v>
      </c>
      <c r="AM13" s="426">
        <f t="shared" si="28"/>
        <v>0</v>
      </c>
      <c r="AN13" s="426">
        <f t="shared" si="29"/>
        <v>0</v>
      </c>
      <c r="AO13" s="426">
        <f t="shared" si="30"/>
        <v>0</v>
      </c>
      <c r="AP13" s="426">
        <f t="shared" si="31"/>
        <v>0</v>
      </c>
      <c r="AQ13" s="426">
        <f t="shared" si="32"/>
        <v>0</v>
      </c>
      <c r="AR13" s="426">
        <f t="shared" si="33"/>
        <v>0</v>
      </c>
      <c r="AS13" s="426">
        <f t="shared" si="34"/>
        <v>0</v>
      </c>
      <c r="AT13" s="426">
        <f t="shared" si="35"/>
        <v>0</v>
      </c>
      <c r="AU13" s="426">
        <f t="shared" si="36"/>
        <v>0</v>
      </c>
      <c r="AV13" s="426">
        <f t="shared" si="37"/>
        <v>0</v>
      </c>
      <c r="AW13" s="426">
        <f t="shared" si="38"/>
        <v>0</v>
      </c>
    </row>
    <row r="14" spans="1:49" s="421" customFormat="1" ht="12" customHeight="1">
      <c r="A14" s="73">
        <f t="array" ref="A14">IF(C14&lt;&gt;0,SUM(($C$11:C14&lt;&gt;0)*1),"")</f>
        <v>4</v>
      </c>
      <c r="B14" s="422">
        <v>41775</v>
      </c>
      <c r="C14" s="316" t="s">
        <v>8</v>
      </c>
      <c r="D14" s="316">
        <v>41775</v>
      </c>
      <c r="E14" s="423" t="s">
        <v>336</v>
      </c>
      <c r="F14" s="75">
        <v>33000000</v>
      </c>
      <c r="G14" s="425" t="s">
        <v>9</v>
      </c>
      <c r="H14" s="425" t="s">
        <v>34</v>
      </c>
      <c r="I14" s="73">
        <f>A14</f>
        <v>4</v>
      </c>
      <c r="J14" s="426">
        <f t="shared" si="1"/>
        <v>0</v>
      </c>
      <c r="K14" s="426">
        <f t="shared" si="2"/>
        <v>0</v>
      </c>
      <c r="L14" s="426">
        <f t="shared" si="3"/>
        <v>0</v>
      </c>
      <c r="M14" s="426">
        <f t="shared" si="4"/>
        <v>33000000</v>
      </c>
      <c r="N14" s="426">
        <f t="shared" si="5"/>
        <v>0</v>
      </c>
      <c r="O14" s="426">
        <f t="shared" si="6"/>
        <v>0</v>
      </c>
      <c r="P14" s="426">
        <f t="shared" si="7"/>
        <v>0</v>
      </c>
      <c r="Q14" s="426">
        <f t="shared" si="8"/>
        <v>0</v>
      </c>
      <c r="R14" s="426">
        <f t="shared" si="39"/>
        <v>0</v>
      </c>
      <c r="S14" s="426">
        <f t="shared" si="40"/>
        <v>0</v>
      </c>
      <c r="T14" s="426">
        <f t="shared" si="9"/>
        <v>33000000</v>
      </c>
      <c r="U14" s="426">
        <f t="shared" si="10"/>
        <v>0</v>
      </c>
      <c r="V14" s="426">
        <f t="shared" si="11"/>
        <v>0</v>
      </c>
      <c r="W14" s="426">
        <f t="shared" si="12"/>
        <v>0</v>
      </c>
      <c r="X14" s="426">
        <f t="shared" si="13"/>
        <v>0</v>
      </c>
      <c r="Y14" s="426">
        <f t="shared" si="14"/>
        <v>0</v>
      </c>
      <c r="Z14" s="426">
        <f t="shared" si="15"/>
        <v>0</v>
      </c>
      <c r="AA14" s="426">
        <f t="shared" si="16"/>
        <v>0</v>
      </c>
      <c r="AB14" s="426">
        <f t="shared" si="17"/>
        <v>0</v>
      </c>
      <c r="AC14" s="426">
        <f t="shared" si="18"/>
        <v>0</v>
      </c>
      <c r="AD14" s="426">
        <f t="shared" si="19"/>
        <v>0</v>
      </c>
      <c r="AE14" s="426">
        <f t="shared" si="20"/>
        <v>0</v>
      </c>
      <c r="AF14" s="426">
        <f t="shared" si="21"/>
        <v>0</v>
      </c>
      <c r="AG14" s="426">
        <f t="shared" si="22"/>
        <v>0</v>
      </c>
      <c r="AH14" s="426">
        <f t="shared" si="23"/>
        <v>0</v>
      </c>
      <c r="AI14" s="426">
        <f t="shared" si="24"/>
        <v>0</v>
      </c>
      <c r="AJ14" s="426">
        <f t="shared" si="25"/>
        <v>0</v>
      </c>
      <c r="AK14" s="426">
        <f t="shared" si="26"/>
        <v>0</v>
      </c>
      <c r="AL14" s="426">
        <f t="shared" si="27"/>
        <v>0</v>
      </c>
      <c r="AM14" s="426">
        <f t="shared" si="28"/>
        <v>0</v>
      </c>
      <c r="AN14" s="426">
        <f t="shared" si="29"/>
        <v>0</v>
      </c>
      <c r="AO14" s="426">
        <f t="shared" si="30"/>
        <v>0</v>
      </c>
      <c r="AP14" s="426">
        <f t="shared" si="31"/>
        <v>0</v>
      </c>
      <c r="AQ14" s="426">
        <f t="shared" si="32"/>
        <v>0</v>
      </c>
      <c r="AR14" s="426">
        <f t="shared" si="33"/>
        <v>0</v>
      </c>
      <c r="AS14" s="426">
        <f t="shared" si="34"/>
        <v>0</v>
      </c>
      <c r="AT14" s="426">
        <f t="shared" si="35"/>
        <v>0</v>
      </c>
      <c r="AU14" s="426">
        <f t="shared" si="36"/>
        <v>0</v>
      </c>
      <c r="AV14" s="426">
        <f t="shared" si="37"/>
        <v>0</v>
      </c>
      <c r="AW14" s="426">
        <f t="shared" si="38"/>
        <v>0</v>
      </c>
    </row>
    <row r="15" spans="1:49" s="421" customFormat="1" ht="12" customHeight="1">
      <c r="A15" s="73">
        <f t="array" ref="A15">IF(C15&lt;&gt;0,SUM(($C$11:C15&lt;&gt;0)*1),"")</f>
        <v>5</v>
      </c>
      <c r="B15" s="422">
        <v>41775</v>
      </c>
      <c r="C15" s="316" t="s">
        <v>8</v>
      </c>
      <c r="D15" s="316">
        <v>41775</v>
      </c>
      <c r="E15" s="423" t="s">
        <v>21</v>
      </c>
      <c r="F15" s="75">
        <v>25000</v>
      </c>
      <c r="G15" s="425" t="s">
        <v>348</v>
      </c>
      <c r="H15" s="425" t="s">
        <v>34</v>
      </c>
      <c r="I15" s="73">
        <f>A15</f>
        <v>5</v>
      </c>
      <c r="J15" s="426">
        <f t="shared" si="1"/>
        <v>0</v>
      </c>
      <c r="K15" s="426">
        <f t="shared" si="2"/>
        <v>0</v>
      </c>
      <c r="L15" s="426">
        <f t="shared" si="3"/>
        <v>0</v>
      </c>
      <c r="M15" s="426">
        <f t="shared" si="4"/>
        <v>25000</v>
      </c>
      <c r="N15" s="426">
        <f t="shared" si="5"/>
        <v>0</v>
      </c>
      <c r="O15" s="426">
        <f t="shared" si="6"/>
        <v>0</v>
      </c>
      <c r="P15" s="426">
        <f t="shared" si="7"/>
        <v>0</v>
      </c>
      <c r="Q15" s="426">
        <f t="shared" si="8"/>
        <v>0</v>
      </c>
      <c r="R15" s="426">
        <f t="shared" si="39"/>
        <v>0</v>
      </c>
      <c r="S15" s="426">
        <f t="shared" si="40"/>
        <v>0</v>
      </c>
      <c r="T15" s="426">
        <f t="shared" si="9"/>
        <v>0</v>
      </c>
      <c r="U15" s="426">
        <f t="shared" si="10"/>
        <v>0</v>
      </c>
      <c r="V15" s="426">
        <f t="shared" si="11"/>
        <v>0</v>
      </c>
      <c r="W15" s="426">
        <f t="shared" si="12"/>
        <v>0</v>
      </c>
      <c r="X15" s="426">
        <f t="shared" si="13"/>
        <v>0</v>
      </c>
      <c r="Y15" s="426">
        <f t="shared" si="14"/>
        <v>0</v>
      </c>
      <c r="Z15" s="426">
        <f t="shared" si="15"/>
        <v>0</v>
      </c>
      <c r="AA15" s="426">
        <f t="shared" si="16"/>
        <v>0</v>
      </c>
      <c r="AB15" s="426">
        <f t="shared" si="17"/>
        <v>0</v>
      </c>
      <c r="AC15" s="426">
        <f t="shared" si="18"/>
        <v>0</v>
      </c>
      <c r="AD15" s="426">
        <f t="shared" si="19"/>
        <v>0</v>
      </c>
      <c r="AE15" s="426">
        <f t="shared" si="20"/>
        <v>0</v>
      </c>
      <c r="AF15" s="426">
        <f t="shared" si="21"/>
        <v>0</v>
      </c>
      <c r="AG15" s="426">
        <f t="shared" si="22"/>
        <v>0</v>
      </c>
      <c r="AH15" s="426">
        <f t="shared" si="23"/>
        <v>0</v>
      </c>
      <c r="AI15" s="426">
        <f t="shared" si="24"/>
        <v>0</v>
      </c>
      <c r="AJ15" s="426">
        <f t="shared" si="25"/>
        <v>0</v>
      </c>
      <c r="AK15" s="426">
        <f t="shared" si="26"/>
        <v>0</v>
      </c>
      <c r="AL15" s="426">
        <f t="shared" si="27"/>
        <v>0</v>
      </c>
      <c r="AM15" s="426">
        <f t="shared" si="28"/>
        <v>0</v>
      </c>
      <c r="AN15" s="426">
        <f t="shared" si="29"/>
        <v>0</v>
      </c>
      <c r="AO15" s="426">
        <f t="shared" si="30"/>
        <v>0</v>
      </c>
      <c r="AP15" s="426">
        <f t="shared" si="31"/>
        <v>0</v>
      </c>
      <c r="AQ15" s="426">
        <f t="shared" si="32"/>
        <v>0</v>
      </c>
      <c r="AR15" s="426">
        <f t="shared" si="33"/>
        <v>0</v>
      </c>
      <c r="AS15" s="426">
        <f t="shared" si="34"/>
        <v>0</v>
      </c>
      <c r="AT15" s="426">
        <f t="shared" si="35"/>
        <v>0</v>
      </c>
      <c r="AU15" s="426">
        <f t="shared" si="36"/>
        <v>0</v>
      </c>
      <c r="AV15" s="426">
        <f t="shared" si="37"/>
        <v>0</v>
      </c>
      <c r="AW15" s="426">
        <f t="shared" si="38"/>
        <v>0</v>
      </c>
    </row>
    <row r="16" spans="1:49" s="421" customFormat="1" ht="12" customHeight="1">
      <c r="A16" s="73">
        <f t="array" ref="A16">IF(C16&lt;&gt;0,SUM(($C$11:C16&lt;&gt;0)*1),"")</f>
        <v>6</v>
      </c>
      <c r="B16" s="422">
        <v>41775</v>
      </c>
      <c r="C16" s="316" t="s">
        <v>8</v>
      </c>
      <c r="D16" s="316">
        <v>41775</v>
      </c>
      <c r="E16" s="423" t="s">
        <v>335</v>
      </c>
      <c r="F16" s="75">
        <v>2500</v>
      </c>
      <c r="G16" s="425" t="s">
        <v>10</v>
      </c>
      <c r="H16" s="425" t="s">
        <v>34</v>
      </c>
      <c r="I16" s="73">
        <f t="shared" ref="I16:I17" si="41">A16</f>
        <v>6</v>
      </c>
      <c r="J16" s="426">
        <f t="shared" si="1"/>
        <v>0</v>
      </c>
      <c r="K16" s="426">
        <f t="shared" si="2"/>
        <v>0</v>
      </c>
      <c r="L16" s="426">
        <f t="shared" si="3"/>
        <v>0</v>
      </c>
      <c r="M16" s="426">
        <f t="shared" si="4"/>
        <v>2500</v>
      </c>
      <c r="N16" s="426">
        <f t="shared" si="5"/>
        <v>2500</v>
      </c>
      <c r="O16" s="426">
        <f t="shared" si="6"/>
        <v>0</v>
      </c>
      <c r="P16" s="426">
        <f t="shared" si="7"/>
        <v>0</v>
      </c>
      <c r="Q16" s="426">
        <f t="shared" si="8"/>
        <v>0</v>
      </c>
      <c r="R16" s="426">
        <f t="shared" si="39"/>
        <v>0</v>
      </c>
      <c r="S16" s="426">
        <f t="shared" si="40"/>
        <v>0</v>
      </c>
      <c r="T16" s="426">
        <f t="shared" si="9"/>
        <v>0</v>
      </c>
      <c r="U16" s="426">
        <f t="shared" si="10"/>
        <v>0</v>
      </c>
      <c r="V16" s="426">
        <f t="shared" si="11"/>
        <v>0</v>
      </c>
      <c r="W16" s="426">
        <f t="shared" si="12"/>
        <v>0</v>
      </c>
      <c r="X16" s="426">
        <f t="shared" si="13"/>
        <v>0</v>
      </c>
      <c r="Y16" s="426">
        <f t="shared" si="14"/>
        <v>0</v>
      </c>
      <c r="Z16" s="426">
        <f t="shared" si="15"/>
        <v>0</v>
      </c>
      <c r="AA16" s="426">
        <f t="shared" si="16"/>
        <v>0</v>
      </c>
      <c r="AB16" s="426">
        <f t="shared" si="17"/>
        <v>0</v>
      </c>
      <c r="AC16" s="426">
        <f t="shared" si="18"/>
        <v>0</v>
      </c>
      <c r="AD16" s="426">
        <f t="shared" si="19"/>
        <v>0</v>
      </c>
      <c r="AE16" s="426">
        <f t="shared" si="20"/>
        <v>0</v>
      </c>
      <c r="AF16" s="426">
        <f t="shared" si="21"/>
        <v>0</v>
      </c>
      <c r="AG16" s="426">
        <f t="shared" si="22"/>
        <v>0</v>
      </c>
      <c r="AH16" s="426">
        <f t="shared" si="23"/>
        <v>0</v>
      </c>
      <c r="AI16" s="426">
        <f t="shared" si="24"/>
        <v>0</v>
      </c>
      <c r="AJ16" s="426">
        <f t="shared" si="25"/>
        <v>0</v>
      </c>
      <c r="AK16" s="426">
        <f t="shared" si="26"/>
        <v>0</v>
      </c>
      <c r="AL16" s="426">
        <f t="shared" si="27"/>
        <v>0</v>
      </c>
      <c r="AM16" s="426">
        <f t="shared" si="28"/>
        <v>0</v>
      </c>
      <c r="AN16" s="426">
        <f t="shared" si="29"/>
        <v>0</v>
      </c>
      <c r="AO16" s="426">
        <f t="shared" si="30"/>
        <v>0</v>
      </c>
      <c r="AP16" s="426">
        <f t="shared" si="31"/>
        <v>0</v>
      </c>
      <c r="AQ16" s="426">
        <f t="shared" si="32"/>
        <v>0</v>
      </c>
      <c r="AR16" s="426">
        <f t="shared" si="33"/>
        <v>0</v>
      </c>
      <c r="AS16" s="426">
        <f t="shared" si="34"/>
        <v>0</v>
      </c>
      <c r="AT16" s="426">
        <f t="shared" si="35"/>
        <v>0</v>
      </c>
      <c r="AU16" s="426">
        <f t="shared" si="36"/>
        <v>0</v>
      </c>
      <c r="AV16" s="426">
        <f t="shared" si="37"/>
        <v>0</v>
      </c>
      <c r="AW16" s="426">
        <f t="shared" si="38"/>
        <v>0</v>
      </c>
    </row>
    <row r="17" spans="1:49" s="421" customFormat="1" ht="12" customHeight="1">
      <c r="A17" s="73">
        <f t="array" ref="A17">IF(C17&lt;&gt;0,SUM(($C$11:C17&lt;&gt;0)*1),"")</f>
        <v>7</v>
      </c>
      <c r="B17" s="422">
        <v>41775</v>
      </c>
      <c r="C17" s="316" t="s">
        <v>82</v>
      </c>
      <c r="D17" s="316">
        <v>41775</v>
      </c>
      <c r="E17" s="423" t="s">
        <v>337</v>
      </c>
      <c r="F17" s="75">
        <v>33000000</v>
      </c>
      <c r="G17" s="425" t="s">
        <v>23</v>
      </c>
      <c r="H17" s="425" t="s">
        <v>120</v>
      </c>
      <c r="I17" s="73">
        <f t="shared" si="41"/>
        <v>7</v>
      </c>
      <c r="J17" s="426">
        <f t="shared" si="1"/>
        <v>0</v>
      </c>
      <c r="K17" s="426">
        <f t="shared" si="2"/>
        <v>33000000</v>
      </c>
      <c r="L17" s="426">
        <f t="shared" si="3"/>
        <v>0</v>
      </c>
      <c r="M17" s="426">
        <f t="shared" si="4"/>
        <v>0</v>
      </c>
      <c r="N17" s="426">
        <f t="shared" si="5"/>
        <v>0</v>
      </c>
      <c r="O17" s="426">
        <f t="shared" si="6"/>
        <v>0</v>
      </c>
      <c r="P17" s="426">
        <f t="shared" si="7"/>
        <v>0</v>
      </c>
      <c r="Q17" s="426">
        <f t="shared" si="8"/>
        <v>0</v>
      </c>
      <c r="R17" s="426">
        <f t="shared" si="39"/>
        <v>0</v>
      </c>
      <c r="S17" s="426">
        <f t="shared" si="40"/>
        <v>0</v>
      </c>
      <c r="T17" s="426">
        <f t="shared" si="9"/>
        <v>0</v>
      </c>
      <c r="U17" s="426">
        <f t="shared" si="10"/>
        <v>0</v>
      </c>
      <c r="V17" s="426">
        <f t="shared" si="11"/>
        <v>0</v>
      </c>
      <c r="W17" s="426">
        <f t="shared" si="12"/>
        <v>0</v>
      </c>
      <c r="X17" s="426">
        <f t="shared" si="13"/>
        <v>0</v>
      </c>
      <c r="Y17" s="426">
        <f t="shared" si="14"/>
        <v>0</v>
      </c>
      <c r="Z17" s="426">
        <f t="shared" si="15"/>
        <v>33000000</v>
      </c>
      <c r="AA17" s="426">
        <f t="shared" si="16"/>
        <v>0</v>
      </c>
      <c r="AB17" s="426">
        <f t="shared" si="17"/>
        <v>0</v>
      </c>
      <c r="AC17" s="426">
        <f t="shared" si="18"/>
        <v>0</v>
      </c>
      <c r="AD17" s="426">
        <f t="shared" si="19"/>
        <v>0</v>
      </c>
      <c r="AE17" s="426">
        <f t="shared" si="20"/>
        <v>0</v>
      </c>
      <c r="AF17" s="426">
        <f t="shared" si="21"/>
        <v>0</v>
      </c>
      <c r="AG17" s="426">
        <f t="shared" si="22"/>
        <v>0</v>
      </c>
      <c r="AH17" s="426">
        <f t="shared" si="23"/>
        <v>0</v>
      </c>
      <c r="AI17" s="426">
        <f t="shared" si="24"/>
        <v>0</v>
      </c>
      <c r="AJ17" s="426">
        <f t="shared" si="25"/>
        <v>0</v>
      </c>
      <c r="AK17" s="426">
        <f t="shared" si="26"/>
        <v>0</v>
      </c>
      <c r="AL17" s="426">
        <f t="shared" si="27"/>
        <v>0</v>
      </c>
      <c r="AM17" s="426">
        <f t="shared" si="28"/>
        <v>0</v>
      </c>
      <c r="AN17" s="426">
        <f t="shared" si="29"/>
        <v>0</v>
      </c>
      <c r="AO17" s="426">
        <f t="shared" si="30"/>
        <v>0</v>
      </c>
      <c r="AP17" s="426">
        <f t="shared" si="31"/>
        <v>0</v>
      </c>
      <c r="AQ17" s="426">
        <f t="shared" si="32"/>
        <v>0</v>
      </c>
      <c r="AR17" s="426">
        <f t="shared" si="33"/>
        <v>0</v>
      </c>
      <c r="AS17" s="426">
        <f t="shared" si="34"/>
        <v>0</v>
      </c>
      <c r="AT17" s="426">
        <f t="shared" si="35"/>
        <v>0</v>
      </c>
      <c r="AU17" s="426">
        <f t="shared" si="36"/>
        <v>0</v>
      </c>
      <c r="AV17" s="426">
        <f t="shared" si="37"/>
        <v>0</v>
      </c>
      <c r="AW17" s="426">
        <f t="shared" si="38"/>
        <v>0</v>
      </c>
    </row>
    <row r="18" spans="1:49" s="421" customFormat="1" ht="12" customHeight="1">
      <c r="A18" s="73">
        <f t="array" ref="A18">IF(C18&lt;&gt;0,SUM(($C$11:C18&lt;&gt;0)*1),"")</f>
        <v>8</v>
      </c>
      <c r="B18" s="422">
        <v>41779</v>
      </c>
      <c r="C18" s="316" t="s">
        <v>11</v>
      </c>
      <c r="D18" s="316">
        <v>41779</v>
      </c>
      <c r="E18" s="423" t="s">
        <v>399</v>
      </c>
      <c r="F18" s="75">
        <v>33000000</v>
      </c>
      <c r="G18" s="425" t="s">
        <v>34</v>
      </c>
      <c r="H18" s="425" t="s">
        <v>9</v>
      </c>
      <c r="I18" s="73">
        <f>A18</f>
        <v>8</v>
      </c>
      <c r="J18" s="426">
        <f t="shared" si="1"/>
        <v>0</v>
      </c>
      <c r="K18" s="426">
        <f t="shared" si="2"/>
        <v>0</v>
      </c>
      <c r="L18" s="426">
        <f t="shared" si="3"/>
        <v>33000000</v>
      </c>
      <c r="M18" s="426">
        <f t="shared" si="4"/>
        <v>0</v>
      </c>
      <c r="N18" s="426">
        <f t="shared" si="5"/>
        <v>0</v>
      </c>
      <c r="O18" s="426">
        <f t="shared" si="6"/>
        <v>0</v>
      </c>
      <c r="P18" s="426">
        <f t="shared" si="7"/>
        <v>0</v>
      </c>
      <c r="Q18" s="426">
        <f t="shared" si="8"/>
        <v>0</v>
      </c>
      <c r="R18" s="426">
        <f t="shared" si="39"/>
        <v>0</v>
      </c>
      <c r="S18" s="426">
        <f t="shared" si="40"/>
        <v>0</v>
      </c>
      <c r="T18" s="426">
        <f t="shared" si="9"/>
        <v>0</v>
      </c>
      <c r="U18" s="426">
        <f t="shared" si="10"/>
        <v>33000000</v>
      </c>
      <c r="V18" s="426">
        <f t="shared" si="11"/>
        <v>0</v>
      </c>
      <c r="W18" s="426">
        <f t="shared" si="12"/>
        <v>0</v>
      </c>
      <c r="X18" s="426">
        <f t="shared" si="13"/>
        <v>0</v>
      </c>
      <c r="Y18" s="426">
        <f t="shared" si="14"/>
        <v>0</v>
      </c>
      <c r="Z18" s="426">
        <f t="shared" si="15"/>
        <v>0</v>
      </c>
      <c r="AA18" s="426">
        <f t="shared" si="16"/>
        <v>0</v>
      </c>
      <c r="AB18" s="426">
        <f t="shared" si="17"/>
        <v>0</v>
      </c>
      <c r="AC18" s="426">
        <f t="shared" si="18"/>
        <v>0</v>
      </c>
      <c r="AD18" s="426">
        <f t="shared" si="19"/>
        <v>0</v>
      </c>
      <c r="AE18" s="426">
        <f t="shared" si="20"/>
        <v>0</v>
      </c>
      <c r="AF18" s="426">
        <f t="shared" si="21"/>
        <v>0</v>
      </c>
      <c r="AG18" s="426">
        <f t="shared" si="22"/>
        <v>0</v>
      </c>
      <c r="AH18" s="426">
        <f t="shared" si="23"/>
        <v>0</v>
      </c>
      <c r="AI18" s="426">
        <f t="shared" si="24"/>
        <v>0</v>
      </c>
      <c r="AJ18" s="426">
        <f t="shared" si="25"/>
        <v>0</v>
      </c>
      <c r="AK18" s="426">
        <f t="shared" si="26"/>
        <v>0</v>
      </c>
      <c r="AL18" s="426">
        <f t="shared" si="27"/>
        <v>0</v>
      </c>
      <c r="AM18" s="426">
        <f t="shared" si="28"/>
        <v>0</v>
      </c>
      <c r="AN18" s="426">
        <f t="shared" si="29"/>
        <v>0</v>
      </c>
      <c r="AO18" s="426">
        <f t="shared" si="30"/>
        <v>0</v>
      </c>
      <c r="AP18" s="426">
        <f t="shared" si="31"/>
        <v>0</v>
      </c>
      <c r="AQ18" s="426">
        <f t="shared" si="32"/>
        <v>0</v>
      </c>
      <c r="AR18" s="426">
        <f t="shared" si="33"/>
        <v>0</v>
      </c>
      <c r="AS18" s="426">
        <f t="shared" si="34"/>
        <v>0</v>
      </c>
      <c r="AT18" s="426">
        <f t="shared" si="35"/>
        <v>0</v>
      </c>
      <c r="AU18" s="426">
        <f t="shared" si="36"/>
        <v>0</v>
      </c>
      <c r="AV18" s="426">
        <f t="shared" si="37"/>
        <v>0</v>
      </c>
      <c r="AW18" s="426">
        <f t="shared" si="38"/>
        <v>0</v>
      </c>
    </row>
    <row r="19" spans="1:49" s="421" customFormat="1" ht="12" customHeight="1">
      <c r="A19" s="73">
        <f t="array" ref="A19">IF(C19&lt;&gt;0,SUM(($C$11:C19&lt;&gt;0)*1),"")</f>
        <v>9</v>
      </c>
      <c r="B19" s="422">
        <v>41779</v>
      </c>
      <c r="C19" s="316" t="s">
        <v>8</v>
      </c>
      <c r="D19" s="316">
        <v>41779</v>
      </c>
      <c r="E19" s="423" t="s">
        <v>336</v>
      </c>
      <c r="F19" s="75">
        <v>33000000</v>
      </c>
      <c r="G19" s="425" t="s">
        <v>9</v>
      </c>
      <c r="H19" s="425" t="s">
        <v>34</v>
      </c>
      <c r="I19" s="73">
        <f>A19</f>
        <v>9</v>
      </c>
      <c r="J19" s="426">
        <f t="shared" si="1"/>
        <v>0</v>
      </c>
      <c r="K19" s="426">
        <f t="shared" si="2"/>
        <v>0</v>
      </c>
      <c r="L19" s="426">
        <f t="shared" si="3"/>
        <v>0</v>
      </c>
      <c r="M19" s="426">
        <f t="shared" si="4"/>
        <v>33000000</v>
      </c>
      <c r="N19" s="426">
        <f t="shared" si="5"/>
        <v>0</v>
      </c>
      <c r="O19" s="426">
        <f t="shared" si="6"/>
        <v>0</v>
      </c>
      <c r="P19" s="426">
        <f t="shared" si="7"/>
        <v>0</v>
      </c>
      <c r="Q19" s="426">
        <f t="shared" si="8"/>
        <v>0</v>
      </c>
      <c r="R19" s="426">
        <f t="shared" si="39"/>
        <v>0</v>
      </c>
      <c r="S19" s="426">
        <f t="shared" si="40"/>
        <v>0</v>
      </c>
      <c r="T19" s="426">
        <f t="shared" si="9"/>
        <v>33000000</v>
      </c>
      <c r="U19" s="426">
        <f t="shared" si="10"/>
        <v>0</v>
      </c>
      <c r="V19" s="426">
        <f t="shared" si="11"/>
        <v>0</v>
      </c>
      <c r="W19" s="426">
        <f t="shared" si="12"/>
        <v>0</v>
      </c>
      <c r="X19" s="426">
        <f t="shared" si="13"/>
        <v>0</v>
      </c>
      <c r="Y19" s="426">
        <f t="shared" si="14"/>
        <v>0</v>
      </c>
      <c r="Z19" s="426">
        <f t="shared" si="15"/>
        <v>0</v>
      </c>
      <c r="AA19" s="426">
        <f t="shared" si="16"/>
        <v>0</v>
      </c>
      <c r="AB19" s="426">
        <f t="shared" si="17"/>
        <v>0</v>
      </c>
      <c r="AC19" s="426">
        <f t="shared" si="18"/>
        <v>0</v>
      </c>
      <c r="AD19" s="426">
        <f t="shared" si="19"/>
        <v>0</v>
      </c>
      <c r="AE19" s="426">
        <f t="shared" si="20"/>
        <v>0</v>
      </c>
      <c r="AF19" s="426">
        <f t="shared" si="21"/>
        <v>0</v>
      </c>
      <c r="AG19" s="426">
        <f t="shared" si="22"/>
        <v>0</v>
      </c>
      <c r="AH19" s="426">
        <f t="shared" si="23"/>
        <v>0</v>
      </c>
      <c r="AI19" s="426">
        <f t="shared" si="24"/>
        <v>0</v>
      </c>
      <c r="AJ19" s="426">
        <f t="shared" si="25"/>
        <v>0</v>
      </c>
      <c r="AK19" s="426">
        <f t="shared" si="26"/>
        <v>0</v>
      </c>
      <c r="AL19" s="426">
        <f t="shared" si="27"/>
        <v>0</v>
      </c>
      <c r="AM19" s="426">
        <f t="shared" si="28"/>
        <v>0</v>
      </c>
      <c r="AN19" s="426">
        <f t="shared" si="29"/>
        <v>0</v>
      </c>
      <c r="AO19" s="426">
        <f t="shared" si="30"/>
        <v>0</v>
      </c>
      <c r="AP19" s="426">
        <f t="shared" si="31"/>
        <v>0</v>
      </c>
      <c r="AQ19" s="426">
        <f t="shared" si="32"/>
        <v>0</v>
      </c>
      <c r="AR19" s="426">
        <f t="shared" si="33"/>
        <v>0</v>
      </c>
      <c r="AS19" s="426">
        <f t="shared" si="34"/>
        <v>0</v>
      </c>
      <c r="AT19" s="426">
        <f t="shared" si="35"/>
        <v>0</v>
      </c>
      <c r="AU19" s="426">
        <f t="shared" si="36"/>
        <v>0</v>
      </c>
      <c r="AV19" s="426">
        <f t="shared" si="37"/>
        <v>0</v>
      </c>
      <c r="AW19" s="426">
        <f t="shared" si="38"/>
        <v>0</v>
      </c>
    </row>
    <row r="20" spans="1:49" s="421" customFormat="1" ht="12" customHeight="1">
      <c r="A20" s="73">
        <f t="array" ref="A20">IF(C20&lt;&gt;0,SUM(($C$11:C20&lt;&gt;0)*1),"")</f>
        <v>10</v>
      </c>
      <c r="B20" s="422">
        <v>41779</v>
      </c>
      <c r="C20" s="316" t="s">
        <v>8</v>
      </c>
      <c r="D20" s="316">
        <v>41779</v>
      </c>
      <c r="E20" s="423" t="s">
        <v>21</v>
      </c>
      <c r="F20" s="75">
        <v>25000</v>
      </c>
      <c r="G20" s="425" t="s">
        <v>348</v>
      </c>
      <c r="H20" s="425" t="s">
        <v>34</v>
      </c>
      <c r="I20" s="73">
        <f>A20</f>
        <v>10</v>
      </c>
      <c r="J20" s="426">
        <f t="shared" si="1"/>
        <v>0</v>
      </c>
      <c r="K20" s="426">
        <f t="shared" si="2"/>
        <v>0</v>
      </c>
      <c r="L20" s="426">
        <f t="shared" si="3"/>
        <v>0</v>
      </c>
      <c r="M20" s="426">
        <f t="shared" si="4"/>
        <v>25000</v>
      </c>
      <c r="N20" s="426">
        <f t="shared" si="5"/>
        <v>0</v>
      </c>
      <c r="O20" s="426">
        <f t="shared" si="6"/>
        <v>0</v>
      </c>
      <c r="P20" s="426">
        <f t="shared" si="7"/>
        <v>0</v>
      </c>
      <c r="Q20" s="426">
        <f t="shared" si="8"/>
        <v>0</v>
      </c>
      <c r="R20" s="426">
        <f t="shared" si="39"/>
        <v>0</v>
      </c>
      <c r="S20" s="426">
        <f t="shared" si="40"/>
        <v>0</v>
      </c>
      <c r="T20" s="426">
        <f t="shared" si="9"/>
        <v>0</v>
      </c>
      <c r="U20" s="426">
        <f t="shared" si="10"/>
        <v>0</v>
      </c>
      <c r="V20" s="426">
        <f t="shared" si="11"/>
        <v>0</v>
      </c>
      <c r="W20" s="426">
        <f t="shared" si="12"/>
        <v>0</v>
      </c>
      <c r="X20" s="426">
        <f t="shared" si="13"/>
        <v>0</v>
      </c>
      <c r="Y20" s="426">
        <f t="shared" si="14"/>
        <v>0</v>
      </c>
      <c r="Z20" s="426">
        <f t="shared" si="15"/>
        <v>0</v>
      </c>
      <c r="AA20" s="426">
        <f t="shared" si="16"/>
        <v>0</v>
      </c>
      <c r="AB20" s="426">
        <f t="shared" si="17"/>
        <v>0</v>
      </c>
      <c r="AC20" s="426">
        <f t="shared" si="18"/>
        <v>0</v>
      </c>
      <c r="AD20" s="426">
        <f t="shared" si="19"/>
        <v>0</v>
      </c>
      <c r="AE20" s="426">
        <f t="shared" si="20"/>
        <v>0</v>
      </c>
      <c r="AF20" s="426">
        <f t="shared" si="21"/>
        <v>0</v>
      </c>
      <c r="AG20" s="426">
        <f t="shared" si="22"/>
        <v>0</v>
      </c>
      <c r="AH20" s="426">
        <f t="shared" si="23"/>
        <v>0</v>
      </c>
      <c r="AI20" s="426">
        <f t="shared" si="24"/>
        <v>0</v>
      </c>
      <c r="AJ20" s="426">
        <f t="shared" si="25"/>
        <v>0</v>
      </c>
      <c r="AK20" s="426">
        <f t="shared" si="26"/>
        <v>0</v>
      </c>
      <c r="AL20" s="426">
        <f t="shared" si="27"/>
        <v>0</v>
      </c>
      <c r="AM20" s="426">
        <f t="shared" si="28"/>
        <v>0</v>
      </c>
      <c r="AN20" s="426">
        <f t="shared" si="29"/>
        <v>0</v>
      </c>
      <c r="AO20" s="426">
        <f t="shared" si="30"/>
        <v>0</v>
      </c>
      <c r="AP20" s="426">
        <f t="shared" si="31"/>
        <v>0</v>
      </c>
      <c r="AQ20" s="426">
        <f t="shared" si="32"/>
        <v>0</v>
      </c>
      <c r="AR20" s="426">
        <f t="shared" si="33"/>
        <v>0</v>
      </c>
      <c r="AS20" s="426">
        <f t="shared" si="34"/>
        <v>0</v>
      </c>
      <c r="AT20" s="426">
        <f t="shared" si="35"/>
        <v>0</v>
      </c>
      <c r="AU20" s="426">
        <f t="shared" si="36"/>
        <v>0</v>
      </c>
      <c r="AV20" s="426">
        <f t="shared" si="37"/>
        <v>0</v>
      </c>
      <c r="AW20" s="426">
        <f t="shared" si="38"/>
        <v>0</v>
      </c>
    </row>
    <row r="21" spans="1:49" s="421" customFormat="1" ht="12" customHeight="1">
      <c r="A21" s="73">
        <f t="array" ref="A21">IF(C21&lt;&gt;0,SUM(($C$11:C21&lt;&gt;0)*1),"")</f>
        <v>11</v>
      </c>
      <c r="B21" s="422">
        <v>41779</v>
      </c>
      <c r="C21" s="316" t="s">
        <v>8</v>
      </c>
      <c r="D21" s="316">
        <v>41779</v>
      </c>
      <c r="E21" s="423" t="s">
        <v>335</v>
      </c>
      <c r="F21" s="75">
        <v>2500</v>
      </c>
      <c r="G21" s="425" t="s">
        <v>10</v>
      </c>
      <c r="H21" s="425" t="s">
        <v>34</v>
      </c>
      <c r="I21" s="73">
        <f>A21</f>
        <v>11</v>
      </c>
      <c r="J21" s="426">
        <f t="shared" si="1"/>
        <v>0</v>
      </c>
      <c r="K21" s="426">
        <f t="shared" si="2"/>
        <v>0</v>
      </c>
      <c r="L21" s="426">
        <f t="shared" si="3"/>
        <v>0</v>
      </c>
      <c r="M21" s="426">
        <f t="shared" si="4"/>
        <v>2500</v>
      </c>
      <c r="N21" s="426">
        <f t="shared" si="5"/>
        <v>2500</v>
      </c>
      <c r="O21" s="426">
        <f t="shared" si="6"/>
        <v>0</v>
      </c>
      <c r="P21" s="426">
        <f t="shared" si="7"/>
        <v>0</v>
      </c>
      <c r="Q21" s="426">
        <f t="shared" si="8"/>
        <v>0</v>
      </c>
      <c r="R21" s="426">
        <f t="shared" si="39"/>
        <v>0</v>
      </c>
      <c r="S21" s="426">
        <f t="shared" si="40"/>
        <v>0</v>
      </c>
      <c r="T21" s="426">
        <f t="shared" si="9"/>
        <v>0</v>
      </c>
      <c r="U21" s="426">
        <f t="shared" si="10"/>
        <v>0</v>
      </c>
      <c r="V21" s="426">
        <f t="shared" si="11"/>
        <v>0</v>
      </c>
      <c r="W21" s="426">
        <f t="shared" si="12"/>
        <v>0</v>
      </c>
      <c r="X21" s="426">
        <f t="shared" si="13"/>
        <v>0</v>
      </c>
      <c r="Y21" s="426">
        <f t="shared" si="14"/>
        <v>0</v>
      </c>
      <c r="Z21" s="426">
        <f t="shared" si="15"/>
        <v>0</v>
      </c>
      <c r="AA21" s="426">
        <f t="shared" si="16"/>
        <v>0</v>
      </c>
      <c r="AB21" s="426">
        <f t="shared" si="17"/>
        <v>0</v>
      </c>
      <c r="AC21" s="426">
        <f t="shared" si="18"/>
        <v>0</v>
      </c>
      <c r="AD21" s="426">
        <f t="shared" si="19"/>
        <v>0</v>
      </c>
      <c r="AE21" s="426">
        <f t="shared" si="20"/>
        <v>0</v>
      </c>
      <c r="AF21" s="426">
        <f t="shared" si="21"/>
        <v>0</v>
      </c>
      <c r="AG21" s="426">
        <f t="shared" si="22"/>
        <v>0</v>
      </c>
      <c r="AH21" s="426">
        <f t="shared" si="23"/>
        <v>0</v>
      </c>
      <c r="AI21" s="426">
        <f t="shared" si="24"/>
        <v>0</v>
      </c>
      <c r="AJ21" s="426">
        <f t="shared" si="25"/>
        <v>0</v>
      </c>
      <c r="AK21" s="426">
        <f t="shared" si="26"/>
        <v>0</v>
      </c>
      <c r="AL21" s="426">
        <f t="shared" si="27"/>
        <v>0</v>
      </c>
      <c r="AM21" s="426">
        <f t="shared" si="28"/>
        <v>0</v>
      </c>
      <c r="AN21" s="426">
        <f t="shared" si="29"/>
        <v>0</v>
      </c>
      <c r="AO21" s="426">
        <f t="shared" si="30"/>
        <v>0</v>
      </c>
      <c r="AP21" s="426">
        <f t="shared" si="31"/>
        <v>0</v>
      </c>
      <c r="AQ21" s="426">
        <f t="shared" si="32"/>
        <v>0</v>
      </c>
      <c r="AR21" s="426">
        <f t="shared" si="33"/>
        <v>0</v>
      </c>
      <c r="AS21" s="426">
        <f t="shared" si="34"/>
        <v>0</v>
      </c>
      <c r="AT21" s="426">
        <f t="shared" si="35"/>
        <v>0</v>
      </c>
      <c r="AU21" s="426">
        <f t="shared" si="36"/>
        <v>0</v>
      </c>
      <c r="AV21" s="426">
        <f t="shared" si="37"/>
        <v>0</v>
      </c>
      <c r="AW21" s="426">
        <f t="shared" si="38"/>
        <v>0</v>
      </c>
    </row>
    <row r="22" spans="1:49" s="421" customFormat="1" ht="12" customHeight="1">
      <c r="A22" s="73">
        <f t="array" ref="A22">IF(C22&lt;&gt;0,SUM(($C$11:C22&lt;&gt;0)*1),"")</f>
        <v>12</v>
      </c>
      <c r="B22" s="422">
        <v>41779</v>
      </c>
      <c r="C22" s="316" t="s">
        <v>83</v>
      </c>
      <c r="D22" s="316">
        <v>41779</v>
      </c>
      <c r="E22" s="423" t="s">
        <v>342</v>
      </c>
      <c r="F22" s="75">
        <v>36500000</v>
      </c>
      <c r="G22" s="425" t="s">
        <v>34</v>
      </c>
      <c r="H22" s="425" t="s">
        <v>120</v>
      </c>
      <c r="I22" s="73">
        <f t="shared" ref="I22:I37" si="42">A22</f>
        <v>12</v>
      </c>
      <c r="J22" s="426">
        <f t="shared" si="1"/>
        <v>0</v>
      </c>
      <c r="K22" s="426">
        <f t="shared" si="2"/>
        <v>36500000</v>
      </c>
      <c r="L22" s="426">
        <f t="shared" si="3"/>
        <v>36500000</v>
      </c>
      <c r="M22" s="426">
        <f t="shared" si="4"/>
        <v>0</v>
      </c>
      <c r="N22" s="426">
        <f t="shared" si="5"/>
        <v>0</v>
      </c>
      <c r="O22" s="426">
        <f t="shared" si="6"/>
        <v>0</v>
      </c>
      <c r="P22" s="426">
        <f t="shared" si="7"/>
        <v>0</v>
      </c>
      <c r="Q22" s="426">
        <f t="shared" si="8"/>
        <v>0</v>
      </c>
      <c r="R22" s="426">
        <f t="shared" si="39"/>
        <v>0</v>
      </c>
      <c r="S22" s="426">
        <f t="shared" si="40"/>
        <v>0</v>
      </c>
      <c r="T22" s="426">
        <f t="shared" si="9"/>
        <v>0</v>
      </c>
      <c r="U22" s="426">
        <f t="shared" si="10"/>
        <v>0</v>
      </c>
      <c r="V22" s="426">
        <f t="shared" si="11"/>
        <v>0</v>
      </c>
      <c r="W22" s="426">
        <f t="shared" si="12"/>
        <v>0</v>
      </c>
      <c r="X22" s="426">
        <f t="shared" si="13"/>
        <v>0</v>
      </c>
      <c r="Y22" s="426">
        <f t="shared" si="14"/>
        <v>0</v>
      </c>
      <c r="Z22" s="426">
        <f t="shared" si="15"/>
        <v>0</v>
      </c>
      <c r="AA22" s="426">
        <f t="shared" si="16"/>
        <v>0</v>
      </c>
      <c r="AB22" s="426">
        <f t="shared" si="17"/>
        <v>0</v>
      </c>
      <c r="AC22" s="426">
        <f t="shared" si="18"/>
        <v>0</v>
      </c>
      <c r="AD22" s="426">
        <f t="shared" si="19"/>
        <v>0</v>
      </c>
      <c r="AE22" s="426">
        <f t="shared" si="20"/>
        <v>0</v>
      </c>
      <c r="AF22" s="426">
        <f t="shared" si="21"/>
        <v>0</v>
      </c>
      <c r="AG22" s="426">
        <f t="shared" si="22"/>
        <v>0</v>
      </c>
      <c r="AH22" s="426">
        <f t="shared" si="23"/>
        <v>0</v>
      </c>
      <c r="AI22" s="426">
        <f t="shared" si="24"/>
        <v>0</v>
      </c>
      <c r="AJ22" s="426">
        <f t="shared" si="25"/>
        <v>0</v>
      </c>
      <c r="AK22" s="426">
        <f t="shared" si="26"/>
        <v>0</v>
      </c>
      <c r="AL22" s="426">
        <f t="shared" si="27"/>
        <v>0</v>
      </c>
      <c r="AM22" s="426">
        <f t="shared" si="28"/>
        <v>0</v>
      </c>
      <c r="AN22" s="426">
        <f t="shared" si="29"/>
        <v>0</v>
      </c>
      <c r="AO22" s="426">
        <f t="shared" si="30"/>
        <v>0</v>
      </c>
      <c r="AP22" s="426">
        <f t="shared" si="31"/>
        <v>0</v>
      </c>
      <c r="AQ22" s="426">
        <f t="shared" si="32"/>
        <v>0</v>
      </c>
      <c r="AR22" s="426">
        <f t="shared" si="33"/>
        <v>0</v>
      </c>
      <c r="AS22" s="426">
        <f t="shared" si="34"/>
        <v>0</v>
      </c>
      <c r="AT22" s="426">
        <f t="shared" si="35"/>
        <v>0</v>
      </c>
      <c r="AU22" s="426">
        <f t="shared" si="36"/>
        <v>0</v>
      </c>
      <c r="AV22" s="426">
        <f t="shared" si="37"/>
        <v>0</v>
      </c>
      <c r="AW22" s="426">
        <f t="shared" si="38"/>
        <v>0</v>
      </c>
    </row>
    <row r="23" spans="1:49" s="421" customFormat="1" ht="12" customHeight="1">
      <c r="A23" s="73">
        <f t="array" ref="A23">IF(C23&lt;&gt;0,SUM(($C$11:C23&lt;&gt;0)*1),"")</f>
        <v>13</v>
      </c>
      <c r="B23" s="422">
        <v>41780</v>
      </c>
      <c r="C23" s="316" t="s">
        <v>8</v>
      </c>
      <c r="D23" s="316">
        <v>41780</v>
      </c>
      <c r="E23" s="423" t="s">
        <v>400</v>
      </c>
      <c r="F23" s="75">
        <v>36432000</v>
      </c>
      <c r="G23" s="432" t="s">
        <v>9</v>
      </c>
      <c r="H23" s="425" t="s">
        <v>34</v>
      </c>
      <c r="I23" s="73">
        <f t="shared" si="42"/>
        <v>13</v>
      </c>
      <c r="J23" s="426">
        <f t="shared" si="1"/>
        <v>0</v>
      </c>
      <c r="K23" s="426">
        <f t="shared" si="2"/>
        <v>0</v>
      </c>
      <c r="L23" s="426">
        <f t="shared" si="3"/>
        <v>0</v>
      </c>
      <c r="M23" s="426">
        <f t="shared" si="4"/>
        <v>36432000</v>
      </c>
      <c r="N23" s="426">
        <f t="shared" si="5"/>
        <v>0</v>
      </c>
      <c r="O23" s="426">
        <f t="shared" si="6"/>
        <v>0</v>
      </c>
      <c r="P23" s="426">
        <f t="shared" si="7"/>
        <v>0</v>
      </c>
      <c r="Q23" s="426">
        <f t="shared" si="8"/>
        <v>0</v>
      </c>
      <c r="R23" s="426">
        <f t="shared" si="39"/>
        <v>0</v>
      </c>
      <c r="S23" s="426">
        <f t="shared" si="40"/>
        <v>0</v>
      </c>
      <c r="T23" s="426">
        <f t="shared" si="9"/>
        <v>36432000</v>
      </c>
      <c r="U23" s="426">
        <f t="shared" si="10"/>
        <v>0</v>
      </c>
      <c r="V23" s="426">
        <f t="shared" si="11"/>
        <v>0</v>
      </c>
      <c r="W23" s="426">
        <f t="shared" si="12"/>
        <v>0</v>
      </c>
      <c r="X23" s="426">
        <f t="shared" si="13"/>
        <v>0</v>
      </c>
      <c r="Y23" s="426">
        <f t="shared" si="14"/>
        <v>0</v>
      </c>
      <c r="Z23" s="426">
        <f t="shared" si="15"/>
        <v>0</v>
      </c>
      <c r="AA23" s="426">
        <f t="shared" si="16"/>
        <v>0</v>
      </c>
      <c r="AB23" s="426">
        <f t="shared" si="17"/>
        <v>0</v>
      </c>
      <c r="AC23" s="426">
        <f t="shared" si="18"/>
        <v>0</v>
      </c>
      <c r="AD23" s="426">
        <f t="shared" si="19"/>
        <v>0</v>
      </c>
      <c r="AE23" s="426">
        <f t="shared" si="20"/>
        <v>0</v>
      </c>
      <c r="AF23" s="426">
        <f t="shared" si="21"/>
        <v>0</v>
      </c>
      <c r="AG23" s="426">
        <f t="shared" si="22"/>
        <v>0</v>
      </c>
      <c r="AH23" s="426">
        <f t="shared" si="23"/>
        <v>0</v>
      </c>
      <c r="AI23" s="426">
        <f t="shared" si="24"/>
        <v>0</v>
      </c>
      <c r="AJ23" s="426">
        <f t="shared" si="25"/>
        <v>0</v>
      </c>
      <c r="AK23" s="426">
        <f t="shared" si="26"/>
        <v>0</v>
      </c>
      <c r="AL23" s="426">
        <f t="shared" si="27"/>
        <v>0</v>
      </c>
      <c r="AM23" s="426">
        <f t="shared" si="28"/>
        <v>0</v>
      </c>
      <c r="AN23" s="426">
        <f t="shared" si="29"/>
        <v>0</v>
      </c>
      <c r="AO23" s="426">
        <f t="shared" si="30"/>
        <v>0</v>
      </c>
      <c r="AP23" s="426">
        <f t="shared" si="31"/>
        <v>0</v>
      </c>
      <c r="AQ23" s="426">
        <f t="shared" si="32"/>
        <v>0</v>
      </c>
      <c r="AR23" s="426">
        <f t="shared" si="33"/>
        <v>0</v>
      </c>
      <c r="AS23" s="426">
        <f t="shared" si="34"/>
        <v>0</v>
      </c>
      <c r="AT23" s="426">
        <f t="shared" si="35"/>
        <v>0</v>
      </c>
      <c r="AU23" s="426">
        <f t="shared" si="36"/>
        <v>0</v>
      </c>
      <c r="AV23" s="426">
        <f t="shared" si="37"/>
        <v>0</v>
      </c>
      <c r="AW23" s="426">
        <f t="shared" si="38"/>
        <v>0</v>
      </c>
    </row>
    <row r="24" spans="1:49" s="421" customFormat="1" ht="12" customHeight="1">
      <c r="A24" s="73">
        <f t="array" ref="A24">IF(C24&lt;&gt;0,SUM(($C$11:C24&lt;&gt;0)*1),"")</f>
        <v>14</v>
      </c>
      <c r="B24" s="422">
        <v>41780</v>
      </c>
      <c r="C24" s="316" t="s">
        <v>8</v>
      </c>
      <c r="D24" s="316">
        <v>41780</v>
      </c>
      <c r="E24" s="423" t="s">
        <v>21</v>
      </c>
      <c r="F24" s="75">
        <v>45000</v>
      </c>
      <c r="G24" s="432" t="s">
        <v>348</v>
      </c>
      <c r="H24" s="425" t="s">
        <v>34</v>
      </c>
      <c r="I24" s="73">
        <f t="shared" si="42"/>
        <v>14</v>
      </c>
      <c r="J24" s="426">
        <f t="shared" si="1"/>
        <v>0</v>
      </c>
      <c r="K24" s="426">
        <f t="shared" si="2"/>
        <v>0</v>
      </c>
      <c r="L24" s="426">
        <f t="shared" si="3"/>
        <v>0</v>
      </c>
      <c r="M24" s="426">
        <f t="shared" si="4"/>
        <v>45000</v>
      </c>
      <c r="N24" s="426">
        <f t="shared" si="5"/>
        <v>0</v>
      </c>
      <c r="O24" s="426">
        <f t="shared" si="6"/>
        <v>0</v>
      </c>
      <c r="P24" s="426">
        <f t="shared" si="7"/>
        <v>0</v>
      </c>
      <c r="Q24" s="426">
        <f t="shared" si="8"/>
        <v>0</v>
      </c>
      <c r="R24" s="426">
        <f t="shared" si="39"/>
        <v>0</v>
      </c>
      <c r="S24" s="426">
        <f t="shared" si="40"/>
        <v>0</v>
      </c>
      <c r="T24" s="426">
        <f t="shared" si="9"/>
        <v>0</v>
      </c>
      <c r="U24" s="426">
        <f t="shared" si="10"/>
        <v>0</v>
      </c>
      <c r="V24" s="426">
        <f t="shared" si="11"/>
        <v>0</v>
      </c>
      <c r="W24" s="426">
        <f t="shared" si="12"/>
        <v>0</v>
      </c>
      <c r="X24" s="426">
        <f t="shared" si="13"/>
        <v>0</v>
      </c>
      <c r="Y24" s="426">
        <f t="shared" si="14"/>
        <v>0</v>
      </c>
      <c r="Z24" s="426">
        <f t="shared" si="15"/>
        <v>0</v>
      </c>
      <c r="AA24" s="426">
        <f t="shared" si="16"/>
        <v>0</v>
      </c>
      <c r="AB24" s="426">
        <f t="shared" si="17"/>
        <v>0</v>
      </c>
      <c r="AC24" s="426">
        <f t="shared" si="18"/>
        <v>0</v>
      </c>
      <c r="AD24" s="426">
        <f t="shared" si="19"/>
        <v>0</v>
      </c>
      <c r="AE24" s="426">
        <f t="shared" si="20"/>
        <v>0</v>
      </c>
      <c r="AF24" s="426">
        <f t="shared" si="21"/>
        <v>0</v>
      </c>
      <c r="AG24" s="426">
        <f t="shared" si="22"/>
        <v>0</v>
      </c>
      <c r="AH24" s="426">
        <f t="shared" si="23"/>
        <v>0</v>
      </c>
      <c r="AI24" s="426">
        <f t="shared" si="24"/>
        <v>0</v>
      </c>
      <c r="AJ24" s="426">
        <f t="shared" si="25"/>
        <v>0</v>
      </c>
      <c r="AK24" s="426">
        <f t="shared" si="26"/>
        <v>0</v>
      </c>
      <c r="AL24" s="426">
        <f t="shared" si="27"/>
        <v>0</v>
      </c>
      <c r="AM24" s="426">
        <f t="shared" si="28"/>
        <v>0</v>
      </c>
      <c r="AN24" s="426">
        <f t="shared" si="29"/>
        <v>0</v>
      </c>
      <c r="AO24" s="426">
        <f t="shared" si="30"/>
        <v>0</v>
      </c>
      <c r="AP24" s="426">
        <f t="shared" si="31"/>
        <v>0</v>
      </c>
      <c r="AQ24" s="426">
        <f t="shared" si="32"/>
        <v>0</v>
      </c>
      <c r="AR24" s="426">
        <f t="shared" si="33"/>
        <v>0</v>
      </c>
      <c r="AS24" s="426">
        <f t="shared" si="34"/>
        <v>0</v>
      </c>
      <c r="AT24" s="426">
        <f t="shared" si="35"/>
        <v>0</v>
      </c>
      <c r="AU24" s="426">
        <f t="shared" si="36"/>
        <v>0</v>
      </c>
      <c r="AV24" s="426">
        <f t="shared" si="37"/>
        <v>0</v>
      </c>
      <c r="AW24" s="426">
        <f t="shared" si="38"/>
        <v>0</v>
      </c>
    </row>
    <row r="25" spans="1:49" s="421" customFormat="1" ht="12" customHeight="1">
      <c r="A25" s="73">
        <f t="array" ref="A25">IF(C25&lt;&gt;0,SUM(($C$11:C25&lt;&gt;0)*1),"")</f>
        <v>15</v>
      </c>
      <c r="B25" s="422">
        <v>41780</v>
      </c>
      <c r="C25" s="316" t="s">
        <v>8</v>
      </c>
      <c r="D25" s="316">
        <v>41780</v>
      </c>
      <c r="E25" s="423" t="s">
        <v>335</v>
      </c>
      <c r="F25" s="75">
        <v>4500</v>
      </c>
      <c r="G25" s="425" t="s">
        <v>10</v>
      </c>
      <c r="H25" s="425" t="s">
        <v>34</v>
      </c>
      <c r="I25" s="73">
        <f t="shared" si="42"/>
        <v>15</v>
      </c>
      <c r="J25" s="426">
        <f t="shared" si="1"/>
        <v>0</v>
      </c>
      <c r="K25" s="426">
        <f t="shared" si="2"/>
        <v>0</v>
      </c>
      <c r="L25" s="426">
        <f t="shared" si="3"/>
        <v>0</v>
      </c>
      <c r="M25" s="426">
        <f t="shared" si="4"/>
        <v>4500</v>
      </c>
      <c r="N25" s="426">
        <f t="shared" si="5"/>
        <v>4500</v>
      </c>
      <c r="O25" s="426">
        <f t="shared" si="6"/>
        <v>0</v>
      </c>
      <c r="P25" s="426">
        <f t="shared" si="7"/>
        <v>0</v>
      </c>
      <c r="Q25" s="426">
        <f t="shared" si="8"/>
        <v>0</v>
      </c>
      <c r="R25" s="426">
        <f t="shared" si="39"/>
        <v>0</v>
      </c>
      <c r="S25" s="426">
        <f t="shared" si="40"/>
        <v>0</v>
      </c>
      <c r="T25" s="426">
        <f t="shared" si="9"/>
        <v>0</v>
      </c>
      <c r="U25" s="426">
        <f t="shared" si="10"/>
        <v>0</v>
      </c>
      <c r="V25" s="426">
        <f t="shared" si="11"/>
        <v>0</v>
      </c>
      <c r="W25" s="426">
        <f t="shared" si="12"/>
        <v>0</v>
      </c>
      <c r="X25" s="426">
        <f t="shared" si="13"/>
        <v>0</v>
      </c>
      <c r="Y25" s="426">
        <f t="shared" si="14"/>
        <v>0</v>
      </c>
      <c r="Z25" s="426">
        <f t="shared" si="15"/>
        <v>0</v>
      </c>
      <c r="AA25" s="426">
        <f t="shared" si="16"/>
        <v>0</v>
      </c>
      <c r="AB25" s="426">
        <f t="shared" si="17"/>
        <v>0</v>
      </c>
      <c r="AC25" s="426">
        <f t="shared" si="18"/>
        <v>0</v>
      </c>
      <c r="AD25" s="426">
        <f t="shared" si="19"/>
        <v>0</v>
      </c>
      <c r="AE25" s="426">
        <f t="shared" si="20"/>
        <v>0</v>
      </c>
      <c r="AF25" s="426">
        <f t="shared" si="21"/>
        <v>0</v>
      </c>
      <c r="AG25" s="426">
        <f t="shared" si="22"/>
        <v>0</v>
      </c>
      <c r="AH25" s="426">
        <f t="shared" si="23"/>
        <v>0</v>
      </c>
      <c r="AI25" s="426">
        <f t="shared" si="24"/>
        <v>0</v>
      </c>
      <c r="AJ25" s="426">
        <f t="shared" si="25"/>
        <v>0</v>
      </c>
      <c r="AK25" s="426">
        <f t="shared" si="26"/>
        <v>0</v>
      </c>
      <c r="AL25" s="426">
        <f t="shared" si="27"/>
        <v>0</v>
      </c>
      <c r="AM25" s="426">
        <f t="shared" si="28"/>
        <v>0</v>
      </c>
      <c r="AN25" s="426">
        <f t="shared" si="29"/>
        <v>0</v>
      </c>
      <c r="AO25" s="426">
        <f t="shared" si="30"/>
        <v>0</v>
      </c>
      <c r="AP25" s="426">
        <f t="shared" si="31"/>
        <v>0</v>
      </c>
      <c r="AQ25" s="426">
        <f t="shared" si="32"/>
        <v>0</v>
      </c>
      <c r="AR25" s="426">
        <f t="shared" si="33"/>
        <v>0</v>
      </c>
      <c r="AS25" s="426">
        <f t="shared" si="34"/>
        <v>0</v>
      </c>
      <c r="AT25" s="426">
        <f t="shared" si="35"/>
        <v>0</v>
      </c>
      <c r="AU25" s="426">
        <f t="shared" si="36"/>
        <v>0</v>
      </c>
      <c r="AV25" s="426">
        <f t="shared" si="37"/>
        <v>0</v>
      </c>
      <c r="AW25" s="426">
        <f t="shared" si="38"/>
        <v>0</v>
      </c>
    </row>
    <row r="26" spans="1:49" s="421" customFormat="1" ht="12" customHeight="1">
      <c r="A26" s="73">
        <f t="array" ref="A26">IF(C26&lt;&gt;0,SUM(($C$11:C26&lt;&gt;0)*1),"")</f>
        <v>16</v>
      </c>
      <c r="B26" s="422">
        <v>41785</v>
      </c>
      <c r="C26" s="316" t="s">
        <v>361</v>
      </c>
      <c r="D26" s="316">
        <v>41785</v>
      </c>
      <c r="E26" s="423" t="s">
        <v>432</v>
      </c>
      <c r="F26" s="75">
        <v>33120000</v>
      </c>
      <c r="G26" s="425" t="s">
        <v>348</v>
      </c>
      <c r="H26" s="425" t="s">
        <v>9</v>
      </c>
      <c r="I26" s="73">
        <f t="shared" si="42"/>
        <v>16</v>
      </c>
      <c r="J26" s="426">
        <f t="shared" si="1"/>
        <v>0</v>
      </c>
      <c r="K26" s="426">
        <f t="shared" si="2"/>
        <v>0</v>
      </c>
      <c r="L26" s="426">
        <f t="shared" si="3"/>
        <v>0</v>
      </c>
      <c r="M26" s="426">
        <f t="shared" si="4"/>
        <v>0</v>
      </c>
      <c r="N26" s="426">
        <f t="shared" si="5"/>
        <v>0</v>
      </c>
      <c r="O26" s="426">
        <f t="shared" si="6"/>
        <v>0</v>
      </c>
      <c r="P26" s="426">
        <f t="shared" si="7"/>
        <v>0</v>
      </c>
      <c r="Q26" s="426">
        <f t="shared" si="8"/>
        <v>0</v>
      </c>
      <c r="R26" s="426">
        <f t="shared" si="39"/>
        <v>0</v>
      </c>
      <c r="S26" s="426">
        <f t="shared" si="40"/>
        <v>0</v>
      </c>
      <c r="T26" s="426">
        <f t="shared" si="9"/>
        <v>0</v>
      </c>
      <c r="U26" s="426">
        <f t="shared" si="10"/>
        <v>33120000</v>
      </c>
      <c r="V26" s="426">
        <f t="shared" si="11"/>
        <v>0</v>
      </c>
      <c r="W26" s="426">
        <f t="shared" si="12"/>
        <v>0</v>
      </c>
      <c r="X26" s="426">
        <f t="shared" si="13"/>
        <v>0</v>
      </c>
      <c r="Y26" s="426">
        <f t="shared" si="14"/>
        <v>0</v>
      </c>
      <c r="Z26" s="426">
        <f t="shared" si="15"/>
        <v>0</v>
      </c>
      <c r="AA26" s="426">
        <f t="shared" si="16"/>
        <v>0</v>
      </c>
      <c r="AB26" s="426">
        <f t="shared" si="17"/>
        <v>0</v>
      </c>
      <c r="AC26" s="426">
        <f t="shared" si="18"/>
        <v>0</v>
      </c>
      <c r="AD26" s="426">
        <f t="shared" si="19"/>
        <v>0</v>
      </c>
      <c r="AE26" s="426">
        <f t="shared" si="20"/>
        <v>0</v>
      </c>
      <c r="AF26" s="426">
        <f t="shared" si="21"/>
        <v>0</v>
      </c>
      <c r="AG26" s="426">
        <f t="shared" si="22"/>
        <v>0</v>
      </c>
      <c r="AH26" s="426">
        <f t="shared" si="23"/>
        <v>0</v>
      </c>
      <c r="AI26" s="426">
        <f t="shared" si="24"/>
        <v>0</v>
      </c>
      <c r="AJ26" s="426">
        <f t="shared" si="25"/>
        <v>0</v>
      </c>
      <c r="AK26" s="426">
        <f t="shared" si="26"/>
        <v>0</v>
      </c>
      <c r="AL26" s="426">
        <f t="shared" si="27"/>
        <v>0</v>
      </c>
      <c r="AM26" s="426">
        <f t="shared" si="28"/>
        <v>0</v>
      </c>
      <c r="AN26" s="426">
        <f t="shared" si="29"/>
        <v>0</v>
      </c>
      <c r="AO26" s="426">
        <f t="shared" si="30"/>
        <v>0</v>
      </c>
      <c r="AP26" s="426">
        <f t="shared" si="31"/>
        <v>0</v>
      </c>
      <c r="AQ26" s="426">
        <f t="shared" si="32"/>
        <v>0</v>
      </c>
      <c r="AR26" s="426">
        <f t="shared" si="33"/>
        <v>0</v>
      </c>
      <c r="AS26" s="426">
        <f t="shared" si="34"/>
        <v>0</v>
      </c>
      <c r="AT26" s="426">
        <f t="shared" si="35"/>
        <v>0</v>
      </c>
      <c r="AU26" s="426">
        <f t="shared" si="36"/>
        <v>0</v>
      </c>
      <c r="AV26" s="426">
        <f t="shared" si="37"/>
        <v>0</v>
      </c>
      <c r="AW26" s="426">
        <f t="shared" si="38"/>
        <v>0</v>
      </c>
    </row>
    <row r="27" spans="1:49" s="421" customFormat="1" ht="12" customHeight="1">
      <c r="A27" s="73">
        <f t="array" ref="A27">IF(C27&lt;&gt;0,SUM(($C$11:C27&lt;&gt;0)*1),"")</f>
        <v>17</v>
      </c>
      <c r="B27" s="422">
        <v>41785</v>
      </c>
      <c r="C27" s="316" t="s">
        <v>361</v>
      </c>
      <c r="D27" s="316">
        <v>41785</v>
      </c>
      <c r="E27" s="423" t="s">
        <v>401</v>
      </c>
      <c r="F27" s="75">
        <v>3312000</v>
      </c>
      <c r="G27" s="425" t="s">
        <v>10</v>
      </c>
      <c r="H27" s="425" t="s">
        <v>9</v>
      </c>
      <c r="I27" s="73">
        <f t="shared" si="42"/>
        <v>17</v>
      </c>
      <c r="J27" s="426">
        <f t="shared" si="1"/>
        <v>0</v>
      </c>
      <c r="K27" s="426">
        <f t="shared" si="2"/>
        <v>0</v>
      </c>
      <c r="L27" s="426">
        <f t="shared" si="3"/>
        <v>0</v>
      </c>
      <c r="M27" s="426">
        <f t="shared" si="4"/>
        <v>0</v>
      </c>
      <c r="N27" s="426">
        <f t="shared" si="5"/>
        <v>3312000</v>
      </c>
      <c r="O27" s="426">
        <f t="shared" si="6"/>
        <v>0</v>
      </c>
      <c r="P27" s="426">
        <f t="shared" si="7"/>
        <v>0</v>
      </c>
      <c r="Q27" s="426">
        <f t="shared" si="8"/>
        <v>0</v>
      </c>
      <c r="R27" s="426">
        <f t="shared" si="39"/>
        <v>0</v>
      </c>
      <c r="S27" s="426">
        <f t="shared" si="40"/>
        <v>0</v>
      </c>
      <c r="T27" s="426">
        <f t="shared" si="9"/>
        <v>0</v>
      </c>
      <c r="U27" s="426">
        <f t="shared" si="10"/>
        <v>3312000</v>
      </c>
      <c r="V27" s="426">
        <f t="shared" si="11"/>
        <v>0</v>
      </c>
      <c r="W27" s="426">
        <f t="shared" si="12"/>
        <v>0</v>
      </c>
      <c r="X27" s="426">
        <f t="shared" si="13"/>
        <v>0</v>
      </c>
      <c r="Y27" s="426">
        <f t="shared" si="14"/>
        <v>0</v>
      </c>
      <c r="Z27" s="426">
        <f t="shared" si="15"/>
        <v>0</v>
      </c>
      <c r="AA27" s="426">
        <f t="shared" si="16"/>
        <v>0</v>
      </c>
      <c r="AB27" s="426">
        <f t="shared" si="17"/>
        <v>0</v>
      </c>
      <c r="AC27" s="426">
        <f t="shared" si="18"/>
        <v>0</v>
      </c>
      <c r="AD27" s="426">
        <f t="shared" si="19"/>
        <v>0</v>
      </c>
      <c r="AE27" s="426">
        <f t="shared" si="20"/>
        <v>0</v>
      </c>
      <c r="AF27" s="426">
        <f t="shared" si="21"/>
        <v>0</v>
      </c>
      <c r="AG27" s="426">
        <f t="shared" si="22"/>
        <v>0</v>
      </c>
      <c r="AH27" s="426">
        <f t="shared" si="23"/>
        <v>0</v>
      </c>
      <c r="AI27" s="426">
        <f t="shared" si="24"/>
        <v>0</v>
      </c>
      <c r="AJ27" s="426">
        <f t="shared" si="25"/>
        <v>0</v>
      </c>
      <c r="AK27" s="426">
        <f t="shared" si="26"/>
        <v>0</v>
      </c>
      <c r="AL27" s="426">
        <f t="shared" si="27"/>
        <v>0</v>
      </c>
      <c r="AM27" s="426">
        <f t="shared" si="28"/>
        <v>0</v>
      </c>
      <c r="AN27" s="426">
        <f t="shared" si="29"/>
        <v>0</v>
      </c>
      <c r="AO27" s="426">
        <f t="shared" si="30"/>
        <v>0</v>
      </c>
      <c r="AP27" s="426">
        <f t="shared" si="31"/>
        <v>0</v>
      </c>
      <c r="AQ27" s="426">
        <f t="shared" si="32"/>
        <v>0</v>
      </c>
      <c r="AR27" s="426">
        <f t="shared" si="33"/>
        <v>0</v>
      </c>
      <c r="AS27" s="426">
        <f t="shared" si="34"/>
        <v>0</v>
      </c>
      <c r="AT27" s="426">
        <f t="shared" si="35"/>
        <v>0</v>
      </c>
      <c r="AU27" s="426">
        <f t="shared" si="36"/>
        <v>0</v>
      </c>
      <c r="AV27" s="426">
        <f t="shared" si="37"/>
        <v>0</v>
      </c>
      <c r="AW27" s="426">
        <f t="shared" si="38"/>
        <v>0</v>
      </c>
    </row>
    <row r="28" spans="1:49" s="421" customFormat="1" ht="12" customHeight="1">
      <c r="A28" s="73">
        <f t="array" ref="A28">IF(C28&lt;&gt;0,SUM(($C$11:C28&lt;&gt;0)*1),"")</f>
        <v>18</v>
      </c>
      <c r="B28" s="422">
        <v>41810</v>
      </c>
      <c r="C28" s="316" t="s">
        <v>8</v>
      </c>
      <c r="D28" s="316">
        <v>41810</v>
      </c>
      <c r="E28" s="423" t="s">
        <v>28</v>
      </c>
      <c r="F28" s="75">
        <v>50000</v>
      </c>
      <c r="G28" s="425" t="s">
        <v>348</v>
      </c>
      <c r="H28" s="425" t="s">
        <v>34</v>
      </c>
      <c r="I28" s="73">
        <f t="shared" si="42"/>
        <v>18</v>
      </c>
      <c r="J28" s="426">
        <f t="shared" si="1"/>
        <v>0</v>
      </c>
      <c r="K28" s="426">
        <f t="shared" si="2"/>
        <v>0</v>
      </c>
      <c r="L28" s="426">
        <f t="shared" si="3"/>
        <v>0</v>
      </c>
      <c r="M28" s="426">
        <f t="shared" si="4"/>
        <v>50000</v>
      </c>
      <c r="N28" s="426">
        <f t="shared" si="5"/>
        <v>0</v>
      </c>
      <c r="O28" s="426">
        <f t="shared" si="6"/>
        <v>0</v>
      </c>
      <c r="P28" s="426">
        <f t="shared" si="7"/>
        <v>0</v>
      </c>
      <c r="Q28" s="426">
        <f t="shared" si="8"/>
        <v>0</v>
      </c>
      <c r="R28" s="426">
        <f t="shared" si="39"/>
        <v>0</v>
      </c>
      <c r="S28" s="426">
        <f t="shared" si="40"/>
        <v>0</v>
      </c>
      <c r="T28" s="426">
        <f t="shared" si="9"/>
        <v>0</v>
      </c>
      <c r="U28" s="426">
        <f t="shared" si="10"/>
        <v>0</v>
      </c>
      <c r="V28" s="426">
        <f t="shared" si="11"/>
        <v>0</v>
      </c>
      <c r="W28" s="426">
        <f t="shared" si="12"/>
        <v>0</v>
      </c>
      <c r="X28" s="426">
        <f t="shared" si="13"/>
        <v>0</v>
      </c>
      <c r="Y28" s="426">
        <f t="shared" si="14"/>
        <v>0</v>
      </c>
      <c r="Z28" s="426">
        <f t="shared" si="15"/>
        <v>0</v>
      </c>
      <c r="AA28" s="426">
        <f t="shared" si="16"/>
        <v>0</v>
      </c>
      <c r="AB28" s="426">
        <f t="shared" si="17"/>
        <v>0</v>
      </c>
      <c r="AC28" s="426">
        <f t="shared" si="18"/>
        <v>0</v>
      </c>
      <c r="AD28" s="426">
        <f t="shared" si="19"/>
        <v>0</v>
      </c>
      <c r="AE28" s="426">
        <f t="shared" si="20"/>
        <v>0</v>
      </c>
      <c r="AF28" s="426">
        <f t="shared" si="21"/>
        <v>0</v>
      </c>
      <c r="AG28" s="426">
        <f t="shared" si="22"/>
        <v>0</v>
      </c>
      <c r="AH28" s="426">
        <f t="shared" si="23"/>
        <v>0</v>
      </c>
      <c r="AI28" s="426">
        <f t="shared" si="24"/>
        <v>0</v>
      </c>
      <c r="AJ28" s="426">
        <f t="shared" si="25"/>
        <v>0</v>
      </c>
      <c r="AK28" s="426">
        <f t="shared" si="26"/>
        <v>0</v>
      </c>
      <c r="AL28" s="426">
        <f t="shared" si="27"/>
        <v>0</v>
      </c>
      <c r="AM28" s="426">
        <f t="shared" si="28"/>
        <v>0</v>
      </c>
      <c r="AN28" s="426">
        <f t="shared" si="29"/>
        <v>0</v>
      </c>
      <c r="AO28" s="426">
        <f t="shared" si="30"/>
        <v>0</v>
      </c>
      <c r="AP28" s="426">
        <f t="shared" si="31"/>
        <v>0</v>
      </c>
      <c r="AQ28" s="426">
        <f t="shared" si="32"/>
        <v>0</v>
      </c>
      <c r="AR28" s="426">
        <f t="shared" si="33"/>
        <v>0</v>
      </c>
      <c r="AS28" s="426">
        <f t="shared" si="34"/>
        <v>0</v>
      </c>
      <c r="AT28" s="426">
        <f t="shared" si="35"/>
        <v>0</v>
      </c>
      <c r="AU28" s="426">
        <f t="shared" si="36"/>
        <v>0</v>
      </c>
      <c r="AV28" s="426">
        <f t="shared" si="37"/>
        <v>0</v>
      </c>
      <c r="AW28" s="426">
        <f t="shared" si="38"/>
        <v>0</v>
      </c>
    </row>
    <row r="29" spans="1:49" s="421" customFormat="1" ht="12" customHeight="1">
      <c r="A29" s="73">
        <f t="array" ref="A29">IF(C29&lt;&gt;0,SUM(($C$11:C29&lt;&gt;0)*1),"")</f>
        <v>19</v>
      </c>
      <c r="B29" s="422">
        <v>41810</v>
      </c>
      <c r="C29" s="316" t="s">
        <v>8</v>
      </c>
      <c r="D29" s="316">
        <v>41810</v>
      </c>
      <c r="E29" s="423" t="s">
        <v>345</v>
      </c>
      <c r="F29" s="75">
        <v>5000</v>
      </c>
      <c r="G29" s="425" t="s">
        <v>10</v>
      </c>
      <c r="H29" s="425" t="s">
        <v>34</v>
      </c>
      <c r="I29" s="73">
        <f t="shared" si="42"/>
        <v>19</v>
      </c>
      <c r="J29" s="426">
        <f t="shared" si="1"/>
        <v>0</v>
      </c>
      <c r="K29" s="426">
        <f t="shared" si="2"/>
        <v>0</v>
      </c>
      <c r="L29" s="426">
        <f t="shared" si="3"/>
        <v>0</v>
      </c>
      <c r="M29" s="426">
        <f t="shared" si="4"/>
        <v>5000</v>
      </c>
      <c r="N29" s="426">
        <f t="shared" si="5"/>
        <v>5000</v>
      </c>
      <c r="O29" s="426">
        <f t="shared" si="6"/>
        <v>0</v>
      </c>
      <c r="P29" s="426">
        <f t="shared" si="7"/>
        <v>0</v>
      </c>
      <c r="Q29" s="426">
        <f t="shared" si="8"/>
        <v>0</v>
      </c>
      <c r="R29" s="426">
        <f t="shared" si="39"/>
        <v>0</v>
      </c>
      <c r="S29" s="426">
        <f t="shared" si="40"/>
        <v>0</v>
      </c>
      <c r="T29" s="426">
        <f t="shared" si="9"/>
        <v>0</v>
      </c>
      <c r="U29" s="426">
        <f t="shared" si="10"/>
        <v>0</v>
      </c>
      <c r="V29" s="426">
        <f t="shared" si="11"/>
        <v>0</v>
      </c>
      <c r="W29" s="426">
        <f t="shared" si="12"/>
        <v>0</v>
      </c>
      <c r="X29" s="426">
        <f t="shared" si="13"/>
        <v>0</v>
      </c>
      <c r="Y29" s="426">
        <f t="shared" si="14"/>
        <v>0</v>
      </c>
      <c r="Z29" s="426">
        <f t="shared" si="15"/>
        <v>0</v>
      </c>
      <c r="AA29" s="426">
        <f t="shared" si="16"/>
        <v>0</v>
      </c>
      <c r="AB29" s="426">
        <f t="shared" si="17"/>
        <v>0</v>
      </c>
      <c r="AC29" s="426">
        <f t="shared" si="18"/>
        <v>0</v>
      </c>
      <c r="AD29" s="426">
        <f t="shared" si="19"/>
        <v>0</v>
      </c>
      <c r="AE29" s="426">
        <f t="shared" si="20"/>
        <v>0</v>
      </c>
      <c r="AF29" s="426">
        <f t="shared" si="21"/>
        <v>0</v>
      </c>
      <c r="AG29" s="426">
        <f t="shared" si="22"/>
        <v>0</v>
      </c>
      <c r="AH29" s="426">
        <f t="shared" si="23"/>
        <v>0</v>
      </c>
      <c r="AI29" s="426">
        <f t="shared" si="24"/>
        <v>0</v>
      </c>
      <c r="AJ29" s="426">
        <f t="shared" si="25"/>
        <v>0</v>
      </c>
      <c r="AK29" s="426">
        <f t="shared" si="26"/>
        <v>0</v>
      </c>
      <c r="AL29" s="426">
        <f t="shared" si="27"/>
        <v>0</v>
      </c>
      <c r="AM29" s="426">
        <f t="shared" si="28"/>
        <v>0</v>
      </c>
      <c r="AN29" s="426">
        <f t="shared" si="29"/>
        <v>0</v>
      </c>
      <c r="AO29" s="426">
        <f t="shared" si="30"/>
        <v>0</v>
      </c>
      <c r="AP29" s="426">
        <f t="shared" si="31"/>
        <v>0</v>
      </c>
      <c r="AQ29" s="426">
        <f t="shared" si="32"/>
        <v>0</v>
      </c>
      <c r="AR29" s="426">
        <f t="shared" si="33"/>
        <v>0</v>
      </c>
      <c r="AS29" s="426">
        <f t="shared" si="34"/>
        <v>0</v>
      </c>
      <c r="AT29" s="426">
        <f t="shared" si="35"/>
        <v>0</v>
      </c>
      <c r="AU29" s="426">
        <f t="shared" si="36"/>
        <v>0</v>
      </c>
      <c r="AV29" s="426">
        <f t="shared" si="37"/>
        <v>0</v>
      </c>
      <c r="AW29" s="426">
        <f t="shared" si="38"/>
        <v>0</v>
      </c>
    </row>
    <row r="30" spans="1:49" s="421" customFormat="1" ht="12" customHeight="1">
      <c r="A30" s="73">
        <f t="array" ref="A30">IF(C30&lt;&gt;0,SUM(($C$11:C30&lt;&gt;0)*1),"")</f>
        <v>20</v>
      </c>
      <c r="B30" s="422">
        <v>41810</v>
      </c>
      <c r="C30" s="316" t="s">
        <v>8</v>
      </c>
      <c r="D30" s="316">
        <v>41810</v>
      </c>
      <c r="E30" s="423" t="s">
        <v>346</v>
      </c>
      <c r="F30" s="75">
        <v>50000</v>
      </c>
      <c r="G30" s="425" t="s">
        <v>348</v>
      </c>
      <c r="H30" s="425" t="s">
        <v>34</v>
      </c>
      <c r="I30" s="73">
        <f t="shared" si="42"/>
        <v>20</v>
      </c>
      <c r="J30" s="426">
        <f t="shared" si="1"/>
        <v>0</v>
      </c>
      <c r="K30" s="426">
        <f t="shared" si="2"/>
        <v>0</v>
      </c>
      <c r="L30" s="426">
        <f t="shared" si="3"/>
        <v>0</v>
      </c>
      <c r="M30" s="426">
        <f t="shared" si="4"/>
        <v>50000</v>
      </c>
      <c r="N30" s="426">
        <f t="shared" si="5"/>
        <v>0</v>
      </c>
      <c r="O30" s="426">
        <f t="shared" si="6"/>
        <v>0</v>
      </c>
      <c r="P30" s="426">
        <f t="shared" si="7"/>
        <v>0</v>
      </c>
      <c r="Q30" s="426">
        <f t="shared" si="8"/>
        <v>0</v>
      </c>
      <c r="R30" s="426">
        <f t="shared" si="39"/>
        <v>0</v>
      </c>
      <c r="S30" s="426">
        <f t="shared" si="40"/>
        <v>0</v>
      </c>
      <c r="T30" s="426">
        <f t="shared" si="9"/>
        <v>0</v>
      </c>
      <c r="U30" s="426">
        <f t="shared" si="10"/>
        <v>0</v>
      </c>
      <c r="V30" s="426">
        <f t="shared" si="11"/>
        <v>0</v>
      </c>
      <c r="W30" s="426">
        <f t="shared" si="12"/>
        <v>0</v>
      </c>
      <c r="X30" s="426">
        <f t="shared" si="13"/>
        <v>0</v>
      </c>
      <c r="Y30" s="426">
        <f t="shared" si="14"/>
        <v>0</v>
      </c>
      <c r="Z30" s="426">
        <f t="shared" si="15"/>
        <v>0</v>
      </c>
      <c r="AA30" s="426">
        <f t="shared" si="16"/>
        <v>0</v>
      </c>
      <c r="AB30" s="426">
        <f t="shared" si="17"/>
        <v>0</v>
      </c>
      <c r="AC30" s="426">
        <f t="shared" si="18"/>
        <v>0</v>
      </c>
      <c r="AD30" s="426">
        <f t="shared" si="19"/>
        <v>0</v>
      </c>
      <c r="AE30" s="426">
        <f t="shared" si="20"/>
        <v>0</v>
      </c>
      <c r="AF30" s="426">
        <f t="shared" si="21"/>
        <v>0</v>
      </c>
      <c r="AG30" s="426">
        <f t="shared" si="22"/>
        <v>0</v>
      </c>
      <c r="AH30" s="426">
        <f t="shared" si="23"/>
        <v>0</v>
      </c>
      <c r="AI30" s="426">
        <f t="shared" si="24"/>
        <v>0</v>
      </c>
      <c r="AJ30" s="426">
        <f t="shared" si="25"/>
        <v>0</v>
      </c>
      <c r="AK30" s="426">
        <f t="shared" si="26"/>
        <v>0</v>
      </c>
      <c r="AL30" s="426">
        <f t="shared" si="27"/>
        <v>0</v>
      </c>
      <c r="AM30" s="426">
        <f t="shared" si="28"/>
        <v>0</v>
      </c>
      <c r="AN30" s="426">
        <f t="shared" si="29"/>
        <v>0</v>
      </c>
      <c r="AO30" s="426">
        <f t="shared" si="30"/>
        <v>0</v>
      </c>
      <c r="AP30" s="426">
        <f t="shared" si="31"/>
        <v>0</v>
      </c>
      <c r="AQ30" s="426">
        <f t="shared" si="32"/>
        <v>0</v>
      </c>
      <c r="AR30" s="426">
        <f t="shared" si="33"/>
        <v>0</v>
      </c>
      <c r="AS30" s="426">
        <f t="shared" si="34"/>
        <v>0</v>
      </c>
      <c r="AT30" s="426">
        <f t="shared" si="35"/>
        <v>0</v>
      </c>
      <c r="AU30" s="426">
        <f t="shared" si="36"/>
        <v>0</v>
      </c>
      <c r="AV30" s="426">
        <f t="shared" si="37"/>
        <v>0</v>
      </c>
      <c r="AW30" s="426">
        <f t="shared" si="38"/>
        <v>0</v>
      </c>
    </row>
    <row r="31" spans="1:49" s="421" customFormat="1" ht="12" customHeight="1">
      <c r="A31" s="73">
        <f t="array" ref="A31">IF(C31&lt;&gt;0,SUM(($C$11:C31&lt;&gt;0)*1),"")</f>
        <v>21</v>
      </c>
      <c r="B31" s="422">
        <v>41810</v>
      </c>
      <c r="C31" s="316" t="s">
        <v>8</v>
      </c>
      <c r="D31" s="316">
        <v>41810</v>
      </c>
      <c r="E31" s="423" t="s">
        <v>345</v>
      </c>
      <c r="F31" s="75">
        <v>5000</v>
      </c>
      <c r="G31" s="425" t="s">
        <v>10</v>
      </c>
      <c r="H31" s="425" t="s">
        <v>34</v>
      </c>
      <c r="I31" s="73">
        <f t="shared" si="42"/>
        <v>21</v>
      </c>
      <c r="J31" s="426">
        <f t="shared" si="1"/>
        <v>0</v>
      </c>
      <c r="K31" s="426">
        <f t="shared" si="2"/>
        <v>0</v>
      </c>
      <c r="L31" s="426">
        <f t="shared" si="3"/>
        <v>0</v>
      </c>
      <c r="M31" s="426">
        <f t="shared" si="4"/>
        <v>5000</v>
      </c>
      <c r="N31" s="426">
        <f t="shared" si="5"/>
        <v>5000</v>
      </c>
      <c r="O31" s="426">
        <f t="shared" si="6"/>
        <v>0</v>
      </c>
      <c r="P31" s="426">
        <f t="shared" si="7"/>
        <v>0</v>
      </c>
      <c r="Q31" s="426">
        <f t="shared" si="8"/>
        <v>0</v>
      </c>
      <c r="R31" s="426">
        <f t="shared" si="39"/>
        <v>0</v>
      </c>
      <c r="S31" s="426">
        <f t="shared" si="40"/>
        <v>0</v>
      </c>
      <c r="T31" s="426">
        <f t="shared" si="9"/>
        <v>0</v>
      </c>
      <c r="U31" s="426">
        <f t="shared" si="10"/>
        <v>0</v>
      </c>
      <c r="V31" s="426">
        <f t="shared" si="11"/>
        <v>0</v>
      </c>
      <c r="W31" s="426">
        <f t="shared" si="12"/>
        <v>0</v>
      </c>
      <c r="X31" s="426">
        <f t="shared" si="13"/>
        <v>0</v>
      </c>
      <c r="Y31" s="426">
        <f t="shared" si="14"/>
        <v>0</v>
      </c>
      <c r="Z31" s="426">
        <f t="shared" si="15"/>
        <v>0</v>
      </c>
      <c r="AA31" s="426">
        <f t="shared" si="16"/>
        <v>0</v>
      </c>
      <c r="AB31" s="426">
        <f t="shared" si="17"/>
        <v>0</v>
      </c>
      <c r="AC31" s="426">
        <f t="shared" si="18"/>
        <v>0</v>
      </c>
      <c r="AD31" s="426">
        <f t="shared" si="19"/>
        <v>0</v>
      </c>
      <c r="AE31" s="426">
        <f t="shared" si="20"/>
        <v>0</v>
      </c>
      <c r="AF31" s="426">
        <f t="shared" si="21"/>
        <v>0</v>
      </c>
      <c r="AG31" s="426">
        <f t="shared" si="22"/>
        <v>0</v>
      </c>
      <c r="AH31" s="426">
        <f t="shared" si="23"/>
        <v>0</v>
      </c>
      <c r="AI31" s="426">
        <f t="shared" si="24"/>
        <v>0</v>
      </c>
      <c r="AJ31" s="426">
        <f t="shared" si="25"/>
        <v>0</v>
      </c>
      <c r="AK31" s="426">
        <f t="shared" si="26"/>
        <v>0</v>
      </c>
      <c r="AL31" s="426">
        <f t="shared" si="27"/>
        <v>0</v>
      </c>
      <c r="AM31" s="426">
        <f t="shared" si="28"/>
        <v>0</v>
      </c>
      <c r="AN31" s="426">
        <f t="shared" si="29"/>
        <v>0</v>
      </c>
      <c r="AO31" s="426">
        <f t="shared" si="30"/>
        <v>0</v>
      </c>
      <c r="AP31" s="426">
        <f t="shared" si="31"/>
        <v>0</v>
      </c>
      <c r="AQ31" s="426">
        <f t="shared" si="32"/>
        <v>0</v>
      </c>
      <c r="AR31" s="426">
        <f t="shared" si="33"/>
        <v>0</v>
      </c>
      <c r="AS31" s="426">
        <f t="shared" si="34"/>
        <v>0</v>
      </c>
      <c r="AT31" s="426">
        <f t="shared" si="35"/>
        <v>0</v>
      </c>
      <c r="AU31" s="426">
        <f t="shared" si="36"/>
        <v>0</v>
      </c>
      <c r="AV31" s="426">
        <f t="shared" si="37"/>
        <v>0</v>
      </c>
      <c r="AW31" s="426">
        <f t="shared" si="38"/>
        <v>0</v>
      </c>
    </row>
    <row r="32" spans="1:49" s="421" customFormat="1" ht="12" customHeight="1">
      <c r="A32" s="73">
        <f t="array" ref="A32">IF(C32&lt;&gt;0,SUM(($C$11:C32&lt;&gt;0)*1),"")</f>
        <v>22</v>
      </c>
      <c r="B32" s="422">
        <v>41810</v>
      </c>
      <c r="C32" s="316" t="s">
        <v>8</v>
      </c>
      <c r="D32" s="316">
        <v>41810</v>
      </c>
      <c r="E32" s="423" t="s">
        <v>29</v>
      </c>
      <c r="F32" s="75">
        <v>50000</v>
      </c>
      <c r="G32" s="425" t="s">
        <v>348</v>
      </c>
      <c r="H32" s="425" t="s">
        <v>34</v>
      </c>
      <c r="I32" s="73">
        <f t="shared" si="42"/>
        <v>22</v>
      </c>
      <c r="J32" s="426">
        <f t="shared" si="1"/>
        <v>0</v>
      </c>
      <c r="K32" s="426">
        <f t="shared" si="2"/>
        <v>0</v>
      </c>
      <c r="L32" s="426">
        <f t="shared" si="3"/>
        <v>0</v>
      </c>
      <c r="M32" s="426">
        <f t="shared" si="4"/>
        <v>50000</v>
      </c>
      <c r="N32" s="426">
        <f t="shared" si="5"/>
        <v>0</v>
      </c>
      <c r="O32" s="426">
        <f t="shared" si="6"/>
        <v>0</v>
      </c>
      <c r="P32" s="426">
        <f t="shared" si="7"/>
        <v>0</v>
      </c>
      <c r="Q32" s="426">
        <f t="shared" si="8"/>
        <v>0</v>
      </c>
      <c r="R32" s="426">
        <f t="shared" si="39"/>
        <v>0</v>
      </c>
      <c r="S32" s="426">
        <f t="shared" si="40"/>
        <v>0</v>
      </c>
      <c r="T32" s="426">
        <f t="shared" si="9"/>
        <v>0</v>
      </c>
      <c r="U32" s="426">
        <f t="shared" si="10"/>
        <v>0</v>
      </c>
      <c r="V32" s="426">
        <f t="shared" si="11"/>
        <v>0</v>
      </c>
      <c r="W32" s="426">
        <f t="shared" si="12"/>
        <v>0</v>
      </c>
      <c r="X32" s="426">
        <f t="shared" si="13"/>
        <v>0</v>
      </c>
      <c r="Y32" s="426">
        <f t="shared" si="14"/>
        <v>0</v>
      </c>
      <c r="Z32" s="426">
        <f t="shared" si="15"/>
        <v>0</v>
      </c>
      <c r="AA32" s="426">
        <f t="shared" si="16"/>
        <v>0</v>
      </c>
      <c r="AB32" s="426">
        <f t="shared" si="17"/>
        <v>0</v>
      </c>
      <c r="AC32" s="426">
        <f t="shared" si="18"/>
        <v>0</v>
      </c>
      <c r="AD32" s="426">
        <f t="shared" si="19"/>
        <v>0</v>
      </c>
      <c r="AE32" s="426">
        <f t="shared" si="20"/>
        <v>0</v>
      </c>
      <c r="AF32" s="426">
        <f t="shared" si="21"/>
        <v>0</v>
      </c>
      <c r="AG32" s="426">
        <f t="shared" si="22"/>
        <v>0</v>
      </c>
      <c r="AH32" s="426">
        <f t="shared" si="23"/>
        <v>0</v>
      </c>
      <c r="AI32" s="426">
        <f t="shared" si="24"/>
        <v>0</v>
      </c>
      <c r="AJ32" s="426">
        <f t="shared" si="25"/>
        <v>0</v>
      </c>
      <c r="AK32" s="426">
        <f t="shared" si="26"/>
        <v>0</v>
      </c>
      <c r="AL32" s="426">
        <f t="shared" si="27"/>
        <v>0</v>
      </c>
      <c r="AM32" s="426">
        <f t="shared" si="28"/>
        <v>0</v>
      </c>
      <c r="AN32" s="426">
        <f t="shared" si="29"/>
        <v>0</v>
      </c>
      <c r="AO32" s="426">
        <f t="shared" si="30"/>
        <v>0</v>
      </c>
      <c r="AP32" s="426">
        <f t="shared" si="31"/>
        <v>0</v>
      </c>
      <c r="AQ32" s="426">
        <f t="shared" si="32"/>
        <v>0</v>
      </c>
      <c r="AR32" s="426">
        <f t="shared" si="33"/>
        <v>0</v>
      </c>
      <c r="AS32" s="426">
        <f t="shared" si="34"/>
        <v>0</v>
      </c>
      <c r="AT32" s="426">
        <f t="shared" si="35"/>
        <v>0</v>
      </c>
      <c r="AU32" s="426">
        <f t="shared" si="36"/>
        <v>0</v>
      </c>
      <c r="AV32" s="426">
        <f t="shared" si="37"/>
        <v>0</v>
      </c>
      <c r="AW32" s="426">
        <f t="shared" si="38"/>
        <v>0</v>
      </c>
    </row>
    <row r="33" spans="1:49" s="421" customFormat="1" ht="12" customHeight="1">
      <c r="A33" s="73">
        <f t="array" ref="A33">IF(C33&lt;&gt;0,SUM(($C$11:C33&lt;&gt;0)*1),"")</f>
        <v>23</v>
      </c>
      <c r="B33" s="422">
        <v>41810</v>
      </c>
      <c r="C33" s="316" t="s">
        <v>8</v>
      </c>
      <c r="D33" s="316">
        <v>41810</v>
      </c>
      <c r="E33" s="423" t="s">
        <v>345</v>
      </c>
      <c r="F33" s="75">
        <v>5000</v>
      </c>
      <c r="G33" s="425" t="s">
        <v>10</v>
      </c>
      <c r="H33" s="425" t="s">
        <v>34</v>
      </c>
      <c r="I33" s="73">
        <f t="shared" si="42"/>
        <v>23</v>
      </c>
      <c r="J33" s="426">
        <f t="shared" si="1"/>
        <v>0</v>
      </c>
      <c r="K33" s="426">
        <f t="shared" si="2"/>
        <v>0</v>
      </c>
      <c r="L33" s="426">
        <f t="shared" si="3"/>
        <v>0</v>
      </c>
      <c r="M33" s="426">
        <f t="shared" si="4"/>
        <v>5000</v>
      </c>
      <c r="N33" s="426">
        <f t="shared" si="5"/>
        <v>5000</v>
      </c>
      <c r="O33" s="426">
        <f t="shared" si="6"/>
        <v>0</v>
      </c>
      <c r="P33" s="426">
        <f t="shared" si="7"/>
        <v>0</v>
      </c>
      <c r="Q33" s="426">
        <f t="shared" si="8"/>
        <v>0</v>
      </c>
      <c r="R33" s="426">
        <f t="shared" si="39"/>
        <v>0</v>
      </c>
      <c r="S33" s="426">
        <f t="shared" si="40"/>
        <v>0</v>
      </c>
      <c r="T33" s="426">
        <f t="shared" si="9"/>
        <v>0</v>
      </c>
      <c r="U33" s="426">
        <f t="shared" si="10"/>
        <v>0</v>
      </c>
      <c r="V33" s="426">
        <f t="shared" si="11"/>
        <v>0</v>
      </c>
      <c r="W33" s="426">
        <f t="shared" si="12"/>
        <v>0</v>
      </c>
      <c r="X33" s="426">
        <f t="shared" si="13"/>
        <v>0</v>
      </c>
      <c r="Y33" s="426">
        <f t="shared" si="14"/>
        <v>0</v>
      </c>
      <c r="Z33" s="426">
        <f t="shared" si="15"/>
        <v>0</v>
      </c>
      <c r="AA33" s="426">
        <f t="shared" si="16"/>
        <v>0</v>
      </c>
      <c r="AB33" s="426">
        <f t="shared" si="17"/>
        <v>0</v>
      </c>
      <c r="AC33" s="426">
        <f t="shared" si="18"/>
        <v>0</v>
      </c>
      <c r="AD33" s="426">
        <f t="shared" si="19"/>
        <v>0</v>
      </c>
      <c r="AE33" s="426">
        <f t="shared" si="20"/>
        <v>0</v>
      </c>
      <c r="AF33" s="426">
        <f t="shared" si="21"/>
        <v>0</v>
      </c>
      <c r="AG33" s="426">
        <f t="shared" si="22"/>
        <v>0</v>
      </c>
      <c r="AH33" s="426">
        <f t="shared" si="23"/>
        <v>0</v>
      </c>
      <c r="AI33" s="426">
        <f t="shared" si="24"/>
        <v>0</v>
      </c>
      <c r="AJ33" s="426">
        <f t="shared" si="25"/>
        <v>0</v>
      </c>
      <c r="AK33" s="426">
        <f t="shared" si="26"/>
        <v>0</v>
      </c>
      <c r="AL33" s="426">
        <f t="shared" si="27"/>
        <v>0</v>
      </c>
      <c r="AM33" s="426">
        <f t="shared" si="28"/>
        <v>0</v>
      </c>
      <c r="AN33" s="426">
        <f t="shared" si="29"/>
        <v>0</v>
      </c>
      <c r="AO33" s="426">
        <f t="shared" si="30"/>
        <v>0</v>
      </c>
      <c r="AP33" s="426">
        <f t="shared" si="31"/>
        <v>0</v>
      </c>
      <c r="AQ33" s="426">
        <f t="shared" si="32"/>
        <v>0</v>
      </c>
      <c r="AR33" s="426">
        <f t="shared" si="33"/>
        <v>0</v>
      </c>
      <c r="AS33" s="426">
        <f t="shared" si="34"/>
        <v>0</v>
      </c>
      <c r="AT33" s="426">
        <f t="shared" si="35"/>
        <v>0</v>
      </c>
      <c r="AU33" s="426">
        <f t="shared" si="36"/>
        <v>0</v>
      </c>
      <c r="AV33" s="426">
        <f t="shared" si="37"/>
        <v>0</v>
      </c>
      <c r="AW33" s="426">
        <f t="shared" si="38"/>
        <v>0</v>
      </c>
    </row>
    <row r="34" spans="1:49" s="421" customFormat="1" ht="12" customHeight="1">
      <c r="A34" s="73">
        <f t="array" ref="A34">IF(C34&lt;&gt;0,SUM(($C$11:C34&lt;&gt;0)*1),"")</f>
        <v>24</v>
      </c>
      <c r="B34" s="422">
        <v>41810</v>
      </c>
      <c r="C34" s="316" t="s">
        <v>90</v>
      </c>
      <c r="D34" s="316">
        <v>41810</v>
      </c>
      <c r="E34" s="423" t="s">
        <v>342</v>
      </c>
      <c r="F34" s="75">
        <v>30000000</v>
      </c>
      <c r="G34" s="425" t="s">
        <v>34</v>
      </c>
      <c r="H34" s="425" t="s">
        <v>120</v>
      </c>
      <c r="I34" s="73">
        <f t="shared" si="42"/>
        <v>24</v>
      </c>
      <c r="J34" s="426">
        <f t="shared" si="1"/>
        <v>0</v>
      </c>
      <c r="K34" s="426">
        <f t="shared" si="2"/>
        <v>30000000</v>
      </c>
      <c r="L34" s="426">
        <f t="shared" si="3"/>
        <v>30000000</v>
      </c>
      <c r="M34" s="426">
        <f t="shared" si="4"/>
        <v>0</v>
      </c>
      <c r="N34" s="426">
        <f t="shared" si="5"/>
        <v>0</v>
      </c>
      <c r="O34" s="426">
        <f t="shared" si="6"/>
        <v>0</v>
      </c>
      <c r="P34" s="426">
        <f t="shared" si="7"/>
        <v>0</v>
      </c>
      <c r="Q34" s="426">
        <f t="shared" si="8"/>
        <v>0</v>
      </c>
      <c r="R34" s="426">
        <f t="shared" si="39"/>
        <v>0</v>
      </c>
      <c r="S34" s="426">
        <f t="shared" si="40"/>
        <v>0</v>
      </c>
      <c r="T34" s="426">
        <f t="shared" si="9"/>
        <v>0</v>
      </c>
      <c r="U34" s="426">
        <f t="shared" si="10"/>
        <v>0</v>
      </c>
      <c r="V34" s="426">
        <f t="shared" si="11"/>
        <v>0</v>
      </c>
      <c r="W34" s="426">
        <f t="shared" si="12"/>
        <v>0</v>
      </c>
      <c r="X34" s="426">
        <f t="shared" si="13"/>
        <v>0</v>
      </c>
      <c r="Y34" s="426">
        <f t="shared" si="14"/>
        <v>0</v>
      </c>
      <c r="Z34" s="426">
        <f t="shared" si="15"/>
        <v>0</v>
      </c>
      <c r="AA34" s="426">
        <f t="shared" si="16"/>
        <v>0</v>
      </c>
      <c r="AB34" s="426">
        <f t="shared" si="17"/>
        <v>0</v>
      </c>
      <c r="AC34" s="426">
        <f t="shared" si="18"/>
        <v>0</v>
      </c>
      <c r="AD34" s="426">
        <f t="shared" si="19"/>
        <v>0</v>
      </c>
      <c r="AE34" s="426">
        <f t="shared" si="20"/>
        <v>0</v>
      </c>
      <c r="AF34" s="426">
        <f t="shared" si="21"/>
        <v>0</v>
      </c>
      <c r="AG34" s="426">
        <f t="shared" si="22"/>
        <v>0</v>
      </c>
      <c r="AH34" s="426">
        <f t="shared" si="23"/>
        <v>0</v>
      </c>
      <c r="AI34" s="426">
        <f t="shared" si="24"/>
        <v>0</v>
      </c>
      <c r="AJ34" s="426">
        <f t="shared" si="25"/>
        <v>0</v>
      </c>
      <c r="AK34" s="426">
        <f t="shared" si="26"/>
        <v>0</v>
      </c>
      <c r="AL34" s="426">
        <f t="shared" si="27"/>
        <v>0</v>
      </c>
      <c r="AM34" s="426">
        <f t="shared" si="28"/>
        <v>0</v>
      </c>
      <c r="AN34" s="426">
        <f t="shared" si="29"/>
        <v>0</v>
      </c>
      <c r="AO34" s="426">
        <f t="shared" si="30"/>
        <v>0</v>
      </c>
      <c r="AP34" s="426">
        <f t="shared" si="31"/>
        <v>0</v>
      </c>
      <c r="AQ34" s="426">
        <f t="shared" si="32"/>
        <v>0</v>
      </c>
      <c r="AR34" s="426">
        <f t="shared" si="33"/>
        <v>0</v>
      </c>
      <c r="AS34" s="426">
        <f t="shared" si="34"/>
        <v>0</v>
      </c>
      <c r="AT34" s="426">
        <f t="shared" si="35"/>
        <v>0</v>
      </c>
      <c r="AU34" s="426">
        <f t="shared" si="36"/>
        <v>0</v>
      </c>
      <c r="AV34" s="426">
        <f t="shared" si="37"/>
        <v>0</v>
      </c>
      <c r="AW34" s="426">
        <f t="shared" si="38"/>
        <v>0</v>
      </c>
    </row>
    <row r="35" spans="1:49" s="421" customFormat="1" ht="12" customHeight="1">
      <c r="A35" s="73">
        <f t="array" ref="A35">IF(C35&lt;&gt;0,SUM(($C$11:C35&lt;&gt;0)*1),"")</f>
        <v>25</v>
      </c>
      <c r="B35" s="422">
        <v>41813</v>
      </c>
      <c r="C35" s="316" t="s">
        <v>8</v>
      </c>
      <c r="D35" s="316">
        <v>41813</v>
      </c>
      <c r="E35" s="423" t="s">
        <v>347</v>
      </c>
      <c r="F35" s="75">
        <v>30000000</v>
      </c>
      <c r="G35" s="425" t="s">
        <v>9</v>
      </c>
      <c r="H35" s="425" t="s">
        <v>34</v>
      </c>
      <c r="I35" s="73">
        <f t="shared" si="42"/>
        <v>25</v>
      </c>
      <c r="J35" s="426">
        <f t="shared" si="1"/>
        <v>0</v>
      </c>
      <c r="K35" s="426">
        <f t="shared" si="2"/>
        <v>0</v>
      </c>
      <c r="L35" s="426">
        <f t="shared" si="3"/>
        <v>0</v>
      </c>
      <c r="M35" s="426">
        <f t="shared" si="4"/>
        <v>30000000</v>
      </c>
      <c r="N35" s="426">
        <f t="shared" si="5"/>
        <v>0</v>
      </c>
      <c r="O35" s="426">
        <f t="shared" si="6"/>
        <v>0</v>
      </c>
      <c r="P35" s="426">
        <f t="shared" si="7"/>
        <v>0</v>
      </c>
      <c r="Q35" s="426">
        <f t="shared" si="8"/>
        <v>0</v>
      </c>
      <c r="R35" s="426">
        <f t="shared" si="39"/>
        <v>0</v>
      </c>
      <c r="S35" s="426">
        <f t="shared" si="40"/>
        <v>0</v>
      </c>
      <c r="T35" s="426">
        <f t="shared" si="9"/>
        <v>30000000</v>
      </c>
      <c r="U35" s="426">
        <f t="shared" si="10"/>
        <v>0</v>
      </c>
      <c r="V35" s="426">
        <f t="shared" si="11"/>
        <v>0</v>
      </c>
      <c r="W35" s="426">
        <f t="shared" si="12"/>
        <v>0</v>
      </c>
      <c r="X35" s="426">
        <f t="shared" si="13"/>
        <v>0</v>
      </c>
      <c r="Y35" s="426">
        <f t="shared" si="14"/>
        <v>0</v>
      </c>
      <c r="Z35" s="426">
        <f t="shared" si="15"/>
        <v>0</v>
      </c>
      <c r="AA35" s="426">
        <f t="shared" si="16"/>
        <v>0</v>
      </c>
      <c r="AB35" s="426">
        <f t="shared" si="17"/>
        <v>0</v>
      </c>
      <c r="AC35" s="426">
        <f t="shared" si="18"/>
        <v>0</v>
      </c>
      <c r="AD35" s="426">
        <f t="shared" si="19"/>
        <v>0</v>
      </c>
      <c r="AE35" s="426">
        <f t="shared" si="20"/>
        <v>0</v>
      </c>
      <c r="AF35" s="426">
        <f t="shared" si="21"/>
        <v>0</v>
      </c>
      <c r="AG35" s="426">
        <f t="shared" si="22"/>
        <v>0</v>
      </c>
      <c r="AH35" s="426">
        <f t="shared" si="23"/>
        <v>0</v>
      </c>
      <c r="AI35" s="426">
        <f t="shared" si="24"/>
        <v>0</v>
      </c>
      <c r="AJ35" s="426">
        <f t="shared" si="25"/>
        <v>0</v>
      </c>
      <c r="AK35" s="426">
        <f t="shared" si="26"/>
        <v>0</v>
      </c>
      <c r="AL35" s="426">
        <f t="shared" si="27"/>
        <v>0</v>
      </c>
      <c r="AM35" s="426">
        <f t="shared" si="28"/>
        <v>0</v>
      </c>
      <c r="AN35" s="426">
        <f t="shared" si="29"/>
        <v>0</v>
      </c>
      <c r="AO35" s="426">
        <f t="shared" si="30"/>
        <v>0</v>
      </c>
      <c r="AP35" s="426">
        <f t="shared" si="31"/>
        <v>0</v>
      </c>
      <c r="AQ35" s="426">
        <f t="shared" si="32"/>
        <v>0</v>
      </c>
      <c r="AR35" s="426">
        <f t="shared" si="33"/>
        <v>0</v>
      </c>
      <c r="AS35" s="426">
        <f t="shared" si="34"/>
        <v>0</v>
      </c>
      <c r="AT35" s="426">
        <f t="shared" si="35"/>
        <v>0</v>
      </c>
      <c r="AU35" s="426">
        <f t="shared" si="36"/>
        <v>0</v>
      </c>
      <c r="AV35" s="426">
        <f t="shared" si="37"/>
        <v>0</v>
      </c>
      <c r="AW35" s="426">
        <f t="shared" si="38"/>
        <v>0</v>
      </c>
    </row>
    <row r="36" spans="1:49" s="421" customFormat="1" ht="12" customHeight="1">
      <c r="A36" s="73">
        <f t="array" ref="A36">IF(C36&lt;&gt;0,SUM(($C$11:C36&lt;&gt;0)*1),"")</f>
        <v>26</v>
      </c>
      <c r="B36" s="422">
        <v>41813</v>
      </c>
      <c r="C36" s="316" t="s">
        <v>8</v>
      </c>
      <c r="D36" s="316">
        <v>41813</v>
      </c>
      <c r="E36" s="423" t="s">
        <v>21</v>
      </c>
      <c r="F36" s="75">
        <v>20000</v>
      </c>
      <c r="G36" s="425" t="s">
        <v>348</v>
      </c>
      <c r="H36" s="425" t="s">
        <v>34</v>
      </c>
      <c r="I36" s="73">
        <f t="shared" si="42"/>
        <v>26</v>
      </c>
      <c r="J36" s="426">
        <f t="shared" si="1"/>
        <v>0</v>
      </c>
      <c r="K36" s="426">
        <f t="shared" si="2"/>
        <v>0</v>
      </c>
      <c r="L36" s="426">
        <f t="shared" si="3"/>
        <v>0</v>
      </c>
      <c r="M36" s="426">
        <f t="shared" si="4"/>
        <v>20000</v>
      </c>
      <c r="N36" s="426">
        <f t="shared" si="5"/>
        <v>0</v>
      </c>
      <c r="O36" s="426">
        <f t="shared" si="6"/>
        <v>0</v>
      </c>
      <c r="P36" s="426">
        <f t="shared" si="7"/>
        <v>0</v>
      </c>
      <c r="Q36" s="426">
        <f t="shared" si="8"/>
        <v>0</v>
      </c>
      <c r="R36" s="426">
        <f t="shared" si="39"/>
        <v>0</v>
      </c>
      <c r="S36" s="426">
        <f t="shared" si="40"/>
        <v>0</v>
      </c>
      <c r="T36" s="426">
        <f t="shared" si="9"/>
        <v>0</v>
      </c>
      <c r="U36" s="426">
        <f t="shared" si="10"/>
        <v>0</v>
      </c>
      <c r="V36" s="426">
        <f t="shared" si="11"/>
        <v>0</v>
      </c>
      <c r="W36" s="426">
        <f t="shared" si="12"/>
        <v>0</v>
      </c>
      <c r="X36" s="426">
        <f t="shared" si="13"/>
        <v>0</v>
      </c>
      <c r="Y36" s="426">
        <f t="shared" si="14"/>
        <v>0</v>
      </c>
      <c r="Z36" s="426">
        <f t="shared" si="15"/>
        <v>0</v>
      </c>
      <c r="AA36" s="426">
        <f t="shared" si="16"/>
        <v>0</v>
      </c>
      <c r="AB36" s="426">
        <f t="shared" si="17"/>
        <v>0</v>
      </c>
      <c r="AC36" s="426">
        <f t="shared" si="18"/>
        <v>0</v>
      </c>
      <c r="AD36" s="426">
        <f t="shared" si="19"/>
        <v>0</v>
      </c>
      <c r="AE36" s="426">
        <f t="shared" si="20"/>
        <v>0</v>
      </c>
      <c r="AF36" s="426">
        <f t="shared" si="21"/>
        <v>0</v>
      </c>
      <c r="AG36" s="426">
        <f t="shared" si="22"/>
        <v>0</v>
      </c>
      <c r="AH36" s="426">
        <f t="shared" si="23"/>
        <v>0</v>
      </c>
      <c r="AI36" s="426">
        <f t="shared" si="24"/>
        <v>0</v>
      </c>
      <c r="AJ36" s="426">
        <f t="shared" si="25"/>
        <v>0</v>
      </c>
      <c r="AK36" s="426">
        <f t="shared" si="26"/>
        <v>0</v>
      </c>
      <c r="AL36" s="426">
        <f t="shared" si="27"/>
        <v>0</v>
      </c>
      <c r="AM36" s="426">
        <f t="shared" si="28"/>
        <v>0</v>
      </c>
      <c r="AN36" s="426">
        <f t="shared" si="29"/>
        <v>0</v>
      </c>
      <c r="AO36" s="426">
        <f t="shared" si="30"/>
        <v>0</v>
      </c>
      <c r="AP36" s="426">
        <f t="shared" si="31"/>
        <v>0</v>
      </c>
      <c r="AQ36" s="426">
        <f t="shared" si="32"/>
        <v>0</v>
      </c>
      <c r="AR36" s="426">
        <f t="shared" si="33"/>
        <v>0</v>
      </c>
      <c r="AS36" s="426">
        <f t="shared" si="34"/>
        <v>0</v>
      </c>
      <c r="AT36" s="426">
        <f t="shared" si="35"/>
        <v>0</v>
      </c>
      <c r="AU36" s="426">
        <f t="shared" si="36"/>
        <v>0</v>
      </c>
      <c r="AV36" s="426">
        <f t="shared" si="37"/>
        <v>0</v>
      </c>
      <c r="AW36" s="426">
        <f t="shared" si="38"/>
        <v>0</v>
      </c>
    </row>
    <row r="37" spans="1:49" s="421" customFormat="1" ht="12" customHeight="1">
      <c r="A37" s="73">
        <f t="array" ref="A37">IF(C37&lt;&gt;0,SUM(($C$11:C37&lt;&gt;0)*1),"")</f>
        <v>27</v>
      </c>
      <c r="B37" s="422">
        <v>41813</v>
      </c>
      <c r="C37" s="316" t="s">
        <v>8</v>
      </c>
      <c r="D37" s="316">
        <v>41813</v>
      </c>
      <c r="E37" s="423" t="s">
        <v>335</v>
      </c>
      <c r="F37" s="75">
        <v>2000</v>
      </c>
      <c r="G37" s="425" t="s">
        <v>10</v>
      </c>
      <c r="H37" s="425" t="s">
        <v>34</v>
      </c>
      <c r="I37" s="73">
        <f t="shared" si="42"/>
        <v>27</v>
      </c>
      <c r="J37" s="426">
        <f t="shared" si="1"/>
        <v>0</v>
      </c>
      <c r="K37" s="426">
        <f t="shared" si="2"/>
        <v>0</v>
      </c>
      <c r="L37" s="426">
        <f t="shared" si="3"/>
        <v>0</v>
      </c>
      <c r="M37" s="426">
        <f t="shared" si="4"/>
        <v>2000</v>
      </c>
      <c r="N37" s="426">
        <f t="shared" si="5"/>
        <v>2000</v>
      </c>
      <c r="O37" s="426">
        <f t="shared" si="6"/>
        <v>0</v>
      </c>
      <c r="P37" s="426">
        <f t="shared" si="7"/>
        <v>0</v>
      </c>
      <c r="Q37" s="426">
        <f t="shared" si="8"/>
        <v>0</v>
      </c>
      <c r="R37" s="426">
        <f t="shared" si="39"/>
        <v>0</v>
      </c>
      <c r="S37" s="426">
        <f t="shared" si="40"/>
        <v>0</v>
      </c>
      <c r="T37" s="426">
        <f t="shared" si="9"/>
        <v>0</v>
      </c>
      <c r="U37" s="426">
        <f t="shared" si="10"/>
        <v>0</v>
      </c>
      <c r="V37" s="426">
        <f t="shared" si="11"/>
        <v>0</v>
      </c>
      <c r="W37" s="426">
        <f t="shared" si="12"/>
        <v>0</v>
      </c>
      <c r="X37" s="426">
        <f t="shared" si="13"/>
        <v>0</v>
      </c>
      <c r="Y37" s="426">
        <f t="shared" si="14"/>
        <v>0</v>
      </c>
      <c r="Z37" s="426">
        <f t="shared" si="15"/>
        <v>0</v>
      </c>
      <c r="AA37" s="426">
        <f t="shared" si="16"/>
        <v>0</v>
      </c>
      <c r="AB37" s="426">
        <f t="shared" si="17"/>
        <v>0</v>
      </c>
      <c r="AC37" s="426">
        <f t="shared" si="18"/>
        <v>0</v>
      </c>
      <c r="AD37" s="426">
        <f t="shared" si="19"/>
        <v>0</v>
      </c>
      <c r="AE37" s="426">
        <f t="shared" si="20"/>
        <v>0</v>
      </c>
      <c r="AF37" s="426">
        <f t="shared" si="21"/>
        <v>0</v>
      </c>
      <c r="AG37" s="426">
        <f t="shared" si="22"/>
        <v>0</v>
      </c>
      <c r="AH37" s="426">
        <f t="shared" si="23"/>
        <v>0</v>
      </c>
      <c r="AI37" s="426">
        <f t="shared" si="24"/>
        <v>0</v>
      </c>
      <c r="AJ37" s="426">
        <f t="shared" si="25"/>
        <v>0</v>
      </c>
      <c r="AK37" s="426">
        <f t="shared" si="26"/>
        <v>0</v>
      </c>
      <c r="AL37" s="426">
        <f t="shared" si="27"/>
        <v>0</v>
      </c>
      <c r="AM37" s="426">
        <f t="shared" si="28"/>
        <v>0</v>
      </c>
      <c r="AN37" s="426">
        <f t="shared" si="29"/>
        <v>0</v>
      </c>
      <c r="AO37" s="426">
        <f t="shared" si="30"/>
        <v>0</v>
      </c>
      <c r="AP37" s="426">
        <f t="shared" si="31"/>
        <v>0</v>
      </c>
      <c r="AQ37" s="426">
        <f t="shared" si="32"/>
        <v>0</v>
      </c>
      <c r="AR37" s="426">
        <f t="shared" si="33"/>
        <v>0</v>
      </c>
      <c r="AS37" s="426">
        <f t="shared" si="34"/>
        <v>0</v>
      </c>
      <c r="AT37" s="426">
        <f t="shared" si="35"/>
        <v>0</v>
      </c>
      <c r="AU37" s="426">
        <f t="shared" si="36"/>
        <v>0</v>
      </c>
      <c r="AV37" s="426">
        <f t="shared" si="37"/>
        <v>0</v>
      </c>
      <c r="AW37" s="426">
        <f t="shared" si="38"/>
        <v>0</v>
      </c>
    </row>
    <row r="38" spans="1:49" s="421" customFormat="1" ht="12" customHeight="1">
      <c r="A38" s="73">
        <f t="array" ref="A38">IF(C38&lt;&gt;0,SUM(($C$11:C38&lt;&gt;0)*1),"")</f>
        <v>28</v>
      </c>
      <c r="B38" s="316">
        <v>41820</v>
      </c>
      <c r="C38" s="428" t="s">
        <v>173</v>
      </c>
      <c r="D38" s="428">
        <f t="shared" ref="D38:D44" si="43">B38</f>
        <v>41820</v>
      </c>
      <c r="E38" s="429" t="s">
        <v>174</v>
      </c>
      <c r="F38" s="102">
        <f>AL46</f>
        <v>0</v>
      </c>
      <c r="G38" s="430" t="s">
        <v>167</v>
      </c>
      <c r="H38" s="430" t="s">
        <v>157</v>
      </c>
      <c r="I38" s="73">
        <f t="shared" ref="I38:I44" si="44">A38</f>
        <v>28</v>
      </c>
      <c r="J38" s="426">
        <f t="shared" ref="J38:J45" si="45">IF($G38="1111",$F38,0)</f>
        <v>0</v>
      </c>
      <c r="K38" s="426">
        <f t="shared" ref="K38:K45" si="46">IF($H38="1111",$F38,0)</f>
        <v>0</v>
      </c>
      <c r="L38" s="426">
        <f t="shared" ref="L38:L45" si="47">IF($G38="1121",$F38,0)</f>
        <v>0</v>
      </c>
      <c r="M38" s="426">
        <f t="shared" ref="M38:M45" si="48">IF($H38="1121",$F38,0)</f>
        <v>0</v>
      </c>
      <c r="N38" s="426">
        <f t="shared" ref="N38:N45" si="49">IF($G38="1331",$F38,0)</f>
        <v>0</v>
      </c>
      <c r="O38" s="426">
        <f t="shared" ref="O38:O45" si="50">IF($H38="1331",$F38,0)</f>
        <v>0</v>
      </c>
      <c r="P38" s="426">
        <f t="shared" ref="P38:P45" si="51">IF($G38="1388",$F38,0)</f>
        <v>0</v>
      </c>
      <c r="Q38" s="426">
        <f t="shared" ref="Q38:Q45" si="52">IF($H38="1388",$F38,0)</f>
        <v>0</v>
      </c>
      <c r="R38" s="426">
        <f t="shared" ref="R38:R45" si="53">IF($G38="2412",$F38,0)</f>
        <v>0</v>
      </c>
      <c r="S38" s="426">
        <f t="shared" ref="S38:S45" si="54">IF($H38="2412",$F38,0)</f>
        <v>0</v>
      </c>
      <c r="T38" s="426">
        <f t="shared" ref="T38:T45" si="55">IF($G38="331",$F38,0)</f>
        <v>0</v>
      </c>
      <c r="U38" s="426">
        <f t="shared" ref="U38:U45" si="56">IF($H38="331",$F38,0)</f>
        <v>0</v>
      </c>
      <c r="V38" s="426">
        <f t="shared" ref="V38:V45" si="57">IF($G38="3334",$F38,0)</f>
        <v>0</v>
      </c>
      <c r="W38" s="426">
        <f t="shared" ref="W38:W45" si="58">IF($H38="3334",$F38,0)</f>
        <v>0</v>
      </c>
      <c r="X38" s="426">
        <f t="shared" ref="X38:X45" si="59">IF($G38="33382",$F38,0)</f>
        <v>0</v>
      </c>
      <c r="Y38" s="426">
        <f t="shared" ref="Y38:Y45" si="60">IF($H38="33382",$F38,0)</f>
        <v>0</v>
      </c>
      <c r="Z38" s="426">
        <f t="shared" ref="Z38:Z45" si="61">IF($G38="3388",$F38,0)</f>
        <v>0</v>
      </c>
      <c r="AA38" s="426">
        <f t="shared" ref="AA38:AA45" si="62">IF($H38="3388",$F38,0)</f>
        <v>0</v>
      </c>
      <c r="AB38" s="426">
        <f t="shared" ref="AB38:AB45" si="63">IF($G38="3411",$F38,0)</f>
        <v>0</v>
      </c>
      <c r="AC38" s="426">
        <f t="shared" ref="AC38:AC45" si="64">IF($H38="3411",$F38,0)</f>
        <v>0</v>
      </c>
      <c r="AD38" s="426">
        <f t="shared" ref="AD38:AD45" si="65">IF($G38="4111",$F38,0)</f>
        <v>0</v>
      </c>
      <c r="AE38" s="426">
        <f t="shared" ref="AE38:AE45" si="66">IF($H38="4111",$F38,0)</f>
        <v>0</v>
      </c>
      <c r="AF38" s="426">
        <f t="shared" ref="AF38:AF45" si="67">IF($G38="4211",$F38,0)</f>
        <v>0</v>
      </c>
      <c r="AG38" s="426">
        <f t="shared" ref="AG38:AG45" si="68">IF($H38="4211",$F38,0)</f>
        <v>0</v>
      </c>
      <c r="AH38" s="426">
        <f t="shared" ref="AH38:AH45" si="69">IF($G38="4212",$F38,0)</f>
        <v>0</v>
      </c>
      <c r="AI38" s="426">
        <f t="shared" ref="AI38:AI45" si="70">IF($H38="4212",$F38,0)</f>
        <v>0</v>
      </c>
      <c r="AJ38" s="426">
        <f t="shared" ref="AJ38:AJ45" si="71">IF($G38="515",$F38,0)</f>
        <v>0</v>
      </c>
      <c r="AK38" s="426">
        <f t="shared" ref="AK38:AK45" si="72">IF($H38="515",$F38,0)</f>
        <v>0</v>
      </c>
      <c r="AL38" s="426">
        <f t="shared" ref="AL38:AL45" si="73">IF($G38="635",$F38,0)</f>
        <v>0</v>
      </c>
      <c r="AM38" s="426">
        <f t="shared" ref="AM38:AM45" si="74">IF($H38="635",$F38,0)</f>
        <v>0</v>
      </c>
      <c r="AN38" s="426">
        <f t="shared" ref="AN38:AN45" si="75">IF($G38="642",$F38,0)</f>
        <v>0</v>
      </c>
      <c r="AO38" s="426">
        <f t="shared" ref="AO38:AO45" si="76">IF($H38="642",$F38,0)</f>
        <v>0</v>
      </c>
      <c r="AP38" s="426">
        <f t="shared" ref="AP38:AP45" si="77">IF($G38="711",$F38,0)</f>
        <v>0</v>
      </c>
      <c r="AQ38" s="426">
        <f t="shared" ref="AQ38:AQ45" si="78">IF($H38="711",$F38,0)</f>
        <v>0</v>
      </c>
      <c r="AR38" s="426">
        <f t="shared" ref="AR38:AR45" si="79">IF($G38="811",$F38,0)</f>
        <v>0</v>
      </c>
      <c r="AS38" s="426">
        <f t="shared" ref="AS38:AS45" si="80">IF($H38="811",$F38,0)</f>
        <v>0</v>
      </c>
      <c r="AT38" s="426">
        <f t="shared" ref="AT38:AT45" si="81">IF($G38="821",$F38,0)</f>
        <v>0</v>
      </c>
      <c r="AU38" s="426">
        <f t="shared" ref="AU38:AU45" si="82">IF($H38="821",$F38,0)</f>
        <v>0</v>
      </c>
      <c r="AV38" s="426">
        <f t="shared" ref="AV38:AV45" si="83">IF($G38="911",$F38,0)</f>
        <v>0</v>
      </c>
      <c r="AW38" s="426">
        <f t="shared" ref="AW38:AW45" si="84">IF($H38="911",$F38,0)</f>
        <v>0</v>
      </c>
    </row>
    <row r="39" spans="1:49" s="421" customFormat="1" ht="12" customHeight="1">
      <c r="A39" s="73">
        <f t="array" ref="A39">IF(C39&lt;&gt;0,SUM(($C$11:C39&lt;&gt;0)*1),"")</f>
        <v>29</v>
      </c>
      <c r="B39" s="316">
        <v>41820</v>
      </c>
      <c r="C39" s="428" t="s">
        <v>173</v>
      </c>
      <c r="D39" s="428">
        <f t="shared" si="43"/>
        <v>41820</v>
      </c>
      <c r="E39" s="429" t="s">
        <v>175</v>
      </c>
      <c r="F39" s="102">
        <f>AN46</f>
        <v>0</v>
      </c>
      <c r="G39" s="430" t="s">
        <v>167</v>
      </c>
      <c r="H39" s="430" t="s">
        <v>159</v>
      </c>
      <c r="I39" s="73">
        <f t="shared" si="44"/>
        <v>29</v>
      </c>
      <c r="J39" s="426">
        <f t="shared" si="45"/>
        <v>0</v>
      </c>
      <c r="K39" s="426">
        <f t="shared" si="46"/>
        <v>0</v>
      </c>
      <c r="L39" s="426">
        <f t="shared" si="47"/>
        <v>0</v>
      </c>
      <c r="M39" s="426">
        <f t="shared" si="48"/>
        <v>0</v>
      </c>
      <c r="N39" s="426">
        <f t="shared" si="49"/>
        <v>0</v>
      </c>
      <c r="O39" s="426">
        <f t="shared" si="50"/>
        <v>0</v>
      </c>
      <c r="P39" s="426">
        <f t="shared" si="51"/>
        <v>0</v>
      </c>
      <c r="Q39" s="426">
        <f t="shared" si="52"/>
        <v>0</v>
      </c>
      <c r="R39" s="426">
        <f t="shared" si="53"/>
        <v>0</v>
      </c>
      <c r="S39" s="426">
        <f t="shared" si="54"/>
        <v>0</v>
      </c>
      <c r="T39" s="426">
        <f t="shared" si="55"/>
        <v>0</v>
      </c>
      <c r="U39" s="426">
        <f t="shared" si="56"/>
        <v>0</v>
      </c>
      <c r="V39" s="426">
        <f t="shared" si="57"/>
        <v>0</v>
      </c>
      <c r="W39" s="426">
        <f t="shared" si="58"/>
        <v>0</v>
      </c>
      <c r="X39" s="426">
        <f t="shared" si="59"/>
        <v>0</v>
      </c>
      <c r="Y39" s="426">
        <f t="shared" si="60"/>
        <v>0</v>
      </c>
      <c r="Z39" s="426">
        <f t="shared" si="61"/>
        <v>0</v>
      </c>
      <c r="AA39" s="426">
        <f t="shared" si="62"/>
        <v>0</v>
      </c>
      <c r="AB39" s="426">
        <f t="shared" si="63"/>
        <v>0</v>
      </c>
      <c r="AC39" s="426">
        <f t="shared" si="64"/>
        <v>0</v>
      </c>
      <c r="AD39" s="426">
        <f t="shared" si="65"/>
        <v>0</v>
      </c>
      <c r="AE39" s="426">
        <f t="shared" si="66"/>
        <v>0</v>
      </c>
      <c r="AF39" s="426">
        <f t="shared" si="67"/>
        <v>0</v>
      </c>
      <c r="AG39" s="426">
        <f t="shared" si="68"/>
        <v>0</v>
      </c>
      <c r="AH39" s="426">
        <f t="shared" si="69"/>
        <v>0</v>
      </c>
      <c r="AI39" s="426">
        <f t="shared" si="70"/>
        <v>0</v>
      </c>
      <c r="AJ39" s="426">
        <f t="shared" si="71"/>
        <v>0</v>
      </c>
      <c r="AK39" s="426">
        <f t="shared" si="72"/>
        <v>0</v>
      </c>
      <c r="AL39" s="426">
        <f t="shared" si="73"/>
        <v>0</v>
      </c>
      <c r="AM39" s="426">
        <f t="shared" si="74"/>
        <v>0</v>
      </c>
      <c r="AN39" s="426">
        <f t="shared" si="75"/>
        <v>0</v>
      </c>
      <c r="AO39" s="426">
        <f t="shared" si="76"/>
        <v>0</v>
      </c>
      <c r="AP39" s="426">
        <f t="shared" si="77"/>
        <v>0</v>
      </c>
      <c r="AQ39" s="426">
        <f t="shared" si="78"/>
        <v>0</v>
      </c>
      <c r="AR39" s="426">
        <f t="shared" si="79"/>
        <v>0</v>
      </c>
      <c r="AS39" s="426">
        <f t="shared" si="80"/>
        <v>0</v>
      </c>
      <c r="AT39" s="426">
        <f t="shared" si="81"/>
        <v>0</v>
      </c>
      <c r="AU39" s="426">
        <f t="shared" si="82"/>
        <v>0</v>
      </c>
      <c r="AV39" s="426">
        <f t="shared" si="83"/>
        <v>0</v>
      </c>
      <c r="AW39" s="426">
        <f t="shared" si="84"/>
        <v>0</v>
      </c>
    </row>
    <row r="40" spans="1:49" s="421" customFormat="1" ht="12.75" customHeight="1">
      <c r="A40" s="73">
        <f t="array" ref="A40">IF(C40&lt;&gt;0,SUM(($C$11:C40&lt;&gt;0)*1),"")</f>
        <v>30</v>
      </c>
      <c r="B40" s="316">
        <v>41820</v>
      </c>
      <c r="C40" s="428" t="s">
        <v>173</v>
      </c>
      <c r="D40" s="428">
        <f t="shared" si="43"/>
        <v>41820</v>
      </c>
      <c r="E40" s="429" t="s">
        <v>294</v>
      </c>
      <c r="F40" s="102">
        <f>F41</f>
        <v>0</v>
      </c>
      <c r="G40" s="430" t="s">
        <v>248</v>
      </c>
      <c r="H40" s="430" t="s">
        <v>152</v>
      </c>
      <c r="I40" s="73">
        <f t="shared" si="44"/>
        <v>30</v>
      </c>
      <c r="J40" s="426">
        <f t="shared" si="45"/>
        <v>0</v>
      </c>
      <c r="K40" s="426">
        <f t="shared" si="46"/>
        <v>0</v>
      </c>
      <c r="L40" s="426">
        <f t="shared" si="47"/>
        <v>0</v>
      </c>
      <c r="M40" s="426">
        <f t="shared" si="48"/>
        <v>0</v>
      </c>
      <c r="N40" s="426">
        <f t="shared" si="49"/>
        <v>0</v>
      </c>
      <c r="O40" s="426">
        <f t="shared" si="50"/>
        <v>0</v>
      </c>
      <c r="P40" s="426">
        <f t="shared" si="51"/>
        <v>0</v>
      </c>
      <c r="Q40" s="426">
        <f t="shared" si="52"/>
        <v>0</v>
      </c>
      <c r="R40" s="426">
        <f t="shared" si="53"/>
        <v>0</v>
      </c>
      <c r="S40" s="426">
        <f t="shared" si="54"/>
        <v>0</v>
      </c>
      <c r="T40" s="426">
        <f t="shared" si="55"/>
        <v>0</v>
      </c>
      <c r="U40" s="426">
        <f t="shared" si="56"/>
        <v>0</v>
      </c>
      <c r="V40" s="426">
        <f t="shared" si="57"/>
        <v>0</v>
      </c>
      <c r="W40" s="426">
        <f t="shared" si="58"/>
        <v>0</v>
      </c>
      <c r="X40" s="426">
        <f t="shared" si="59"/>
        <v>0</v>
      </c>
      <c r="Y40" s="426">
        <f t="shared" si="60"/>
        <v>0</v>
      </c>
      <c r="Z40" s="426">
        <f t="shared" si="61"/>
        <v>0</v>
      </c>
      <c r="AA40" s="426">
        <f t="shared" si="62"/>
        <v>0</v>
      </c>
      <c r="AB40" s="426">
        <f t="shared" si="63"/>
        <v>0</v>
      </c>
      <c r="AC40" s="426">
        <f t="shared" si="64"/>
        <v>0</v>
      </c>
      <c r="AD40" s="426">
        <f t="shared" si="65"/>
        <v>0</v>
      </c>
      <c r="AE40" s="426">
        <f t="shared" si="66"/>
        <v>0</v>
      </c>
      <c r="AF40" s="426">
        <f t="shared" si="67"/>
        <v>0</v>
      </c>
      <c r="AG40" s="426">
        <f t="shared" si="68"/>
        <v>0</v>
      </c>
      <c r="AH40" s="426">
        <f t="shared" si="69"/>
        <v>0</v>
      </c>
      <c r="AI40" s="426">
        <f t="shared" si="70"/>
        <v>0</v>
      </c>
      <c r="AJ40" s="426">
        <f t="shared" si="71"/>
        <v>0</v>
      </c>
      <c r="AK40" s="426">
        <f t="shared" si="72"/>
        <v>0</v>
      </c>
      <c r="AL40" s="426">
        <f t="shared" si="73"/>
        <v>0</v>
      </c>
      <c r="AM40" s="426">
        <f t="shared" si="74"/>
        <v>0</v>
      </c>
      <c r="AN40" s="426">
        <f t="shared" si="75"/>
        <v>0</v>
      </c>
      <c r="AO40" s="426">
        <f t="shared" si="76"/>
        <v>0</v>
      </c>
      <c r="AP40" s="426">
        <f t="shared" si="77"/>
        <v>0</v>
      </c>
      <c r="AQ40" s="426">
        <f t="shared" si="78"/>
        <v>0</v>
      </c>
      <c r="AR40" s="426">
        <f t="shared" si="79"/>
        <v>0</v>
      </c>
      <c r="AS40" s="426">
        <f t="shared" si="80"/>
        <v>0</v>
      </c>
      <c r="AT40" s="426">
        <f t="shared" si="81"/>
        <v>0</v>
      </c>
      <c r="AU40" s="426">
        <f t="shared" si="82"/>
        <v>0</v>
      </c>
      <c r="AV40" s="426">
        <f t="shared" si="83"/>
        <v>0</v>
      </c>
      <c r="AW40" s="426">
        <f t="shared" si="84"/>
        <v>0</v>
      </c>
    </row>
    <row r="41" spans="1:49" s="421" customFormat="1" ht="12" customHeight="1">
      <c r="A41" s="73">
        <f t="array" ref="A41">IF(C41&lt;&gt;0,SUM(($C$11:C41&lt;&gt;0)*1),"")</f>
        <v>31</v>
      </c>
      <c r="B41" s="316">
        <v>41820</v>
      </c>
      <c r="C41" s="428" t="s">
        <v>173</v>
      </c>
      <c r="D41" s="428">
        <f t="shared" si="43"/>
        <v>41820</v>
      </c>
      <c r="E41" s="429" t="s">
        <v>327</v>
      </c>
      <c r="F41" s="102"/>
      <c r="G41" s="430" t="s">
        <v>152</v>
      </c>
      <c r="H41" s="430" t="s">
        <v>167</v>
      </c>
      <c r="I41" s="73">
        <f t="shared" si="44"/>
        <v>31</v>
      </c>
      <c r="J41" s="426">
        <f t="shared" si="45"/>
        <v>0</v>
      </c>
      <c r="K41" s="426">
        <f t="shared" si="46"/>
        <v>0</v>
      </c>
      <c r="L41" s="426">
        <f t="shared" si="47"/>
        <v>0</v>
      </c>
      <c r="M41" s="426">
        <f t="shared" si="48"/>
        <v>0</v>
      </c>
      <c r="N41" s="426">
        <f t="shared" si="49"/>
        <v>0</v>
      </c>
      <c r="O41" s="426">
        <f t="shared" si="50"/>
        <v>0</v>
      </c>
      <c r="P41" s="426">
        <f t="shared" si="51"/>
        <v>0</v>
      </c>
      <c r="Q41" s="426">
        <f t="shared" si="52"/>
        <v>0</v>
      </c>
      <c r="R41" s="426">
        <f t="shared" si="53"/>
        <v>0</v>
      </c>
      <c r="S41" s="426">
        <f t="shared" si="54"/>
        <v>0</v>
      </c>
      <c r="T41" s="426">
        <f t="shared" si="55"/>
        <v>0</v>
      </c>
      <c r="U41" s="426">
        <f t="shared" si="56"/>
        <v>0</v>
      </c>
      <c r="V41" s="426">
        <f t="shared" si="57"/>
        <v>0</v>
      </c>
      <c r="W41" s="426">
        <f t="shared" si="58"/>
        <v>0</v>
      </c>
      <c r="X41" s="426">
        <f t="shared" si="59"/>
        <v>0</v>
      </c>
      <c r="Y41" s="426">
        <f t="shared" si="60"/>
        <v>0</v>
      </c>
      <c r="Z41" s="426">
        <f t="shared" si="61"/>
        <v>0</v>
      </c>
      <c r="AA41" s="426">
        <f t="shared" si="62"/>
        <v>0</v>
      </c>
      <c r="AB41" s="426">
        <f t="shared" si="63"/>
        <v>0</v>
      </c>
      <c r="AC41" s="426">
        <f t="shared" si="64"/>
        <v>0</v>
      </c>
      <c r="AD41" s="426">
        <f t="shared" si="65"/>
        <v>0</v>
      </c>
      <c r="AE41" s="426">
        <f t="shared" si="66"/>
        <v>0</v>
      </c>
      <c r="AF41" s="426">
        <f t="shared" si="67"/>
        <v>0</v>
      </c>
      <c r="AG41" s="426">
        <f t="shared" si="68"/>
        <v>0</v>
      </c>
      <c r="AH41" s="426">
        <f t="shared" si="69"/>
        <v>0</v>
      </c>
      <c r="AI41" s="426">
        <f t="shared" si="70"/>
        <v>0</v>
      </c>
      <c r="AJ41" s="426">
        <f t="shared" si="71"/>
        <v>0</v>
      </c>
      <c r="AK41" s="426">
        <f t="shared" si="72"/>
        <v>0</v>
      </c>
      <c r="AL41" s="426">
        <f t="shared" si="73"/>
        <v>0</v>
      </c>
      <c r="AM41" s="426">
        <f t="shared" si="74"/>
        <v>0</v>
      </c>
      <c r="AN41" s="426">
        <f t="shared" si="75"/>
        <v>0</v>
      </c>
      <c r="AO41" s="426">
        <f t="shared" si="76"/>
        <v>0</v>
      </c>
      <c r="AP41" s="426">
        <f t="shared" si="77"/>
        <v>0</v>
      </c>
      <c r="AQ41" s="426">
        <f t="shared" si="78"/>
        <v>0</v>
      </c>
      <c r="AR41" s="426">
        <f t="shared" si="79"/>
        <v>0</v>
      </c>
      <c r="AS41" s="426">
        <f t="shared" si="80"/>
        <v>0</v>
      </c>
      <c r="AT41" s="426">
        <f t="shared" si="81"/>
        <v>0</v>
      </c>
      <c r="AU41" s="426">
        <f t="shared" si="82"/>
        <v>0</v>
      </c>
      <c r="AV41" s="426">
        <f t="shared" si="83"/>
        <v>0</v>
      </c>
      <c r="AW41" s="426">
        <f t="shared" si="84"/>
        <v>0</v>
      </c>
    </row>
    <row r="42" spans="1:49" s="421" customFormat="1" ht="12" customHeight="1">
      <c r="A42" s="73">
        <f t="array" ref="A42">IF(C42&lt;&gt;0,SUM(($C$11:C42&lt;&gt;0)*1),"")</f>
        <v>32</v>
      </c>
      <c r="B42" s="316">
        <v>41820</v>
      </c>
      <c r="C42" s="428" t="s">
        <v>173</v>
      </c>
      <c r="D42" s="428">
        <f t="shared" si="43"/>
        <v>41820</v>
      </c>
      <c r="E42" s="429" t="s">
        <v>177</v>
      </c>
      <c r="F42" s="102">
        <f>AK46</f>
        <v>0</v>
      </c>
      <c r="G42" s="430" t="s">
        <v>67</v>
      </c>
      <c r="H42" s="430" t="s">
        <v>167</v>
      </c>
      <c r="I42" s="73">
        <f t="shared" si="44"/>
        <v>32</v>
      </c>
      <c r="J42" s="426">
        <f t="shared" si="45"/>
        <v>0</v>
      </c>
      <c r="K42" s="426">
        <f t="shared" si="46"/>
        <v>0</v>
      </c>
      <c r="L42" s="426">
        <f t="shared" si="47"/>
        <v>0</v>
      </c>
      <c r="M42" s="426">
        <f t="shared" si="48"/>
        <v>0</v>
      </c>
      <c r="N42" s="426">
        <f t="shared" si="49"/>
        <v>0</v>
      </c>
      <c r="O42" s="426">
        <f t="shared" si="50"/>
        <v>0</v>
      </c>
      <c r="P42" s="426">
        <f t="shared" si="51"/>
        <v>0</v>
      </c>
      <c r="Q42" s="426">
        <f t="shared" si="52"/>
        <v>0</v>
      </c>
      <c r="R42" s="426">
        <f t="shared" si="53"/>
        <v>0</v>
      </c>
      <c r="S42" s="426">
        <f t="shared" si="54"/>
        <v>0</v>
      </c>
      <c r="T42" s="426">
        <f t="shared" si="55"/>
        <v>0</v>
      </c>
      <c r="U42" s="426">
        <f t="shared" si="56"/>
        <v>0</v>
      </c>
      <c r="V42" s="426">
        <f t="shared" si="57"/>
        <v>0</v>
      </c>
      <c r="W42" s="426">
        <f t="shared" si="58"/>
        <v>0</v>
      </c>
      <c r="X42" s="426">
        <f t="shared" si="59"/>
        <v>0</v>
      </c>
      <c r="Y42" s="426">
        <f t="shared" si="60"/>
        <v>0</v>
      </c>
      <c r="Z42" s="426">
        <f t="shared" si="61"/>
        <v>0</v>
      </c>
      <c r="AA42" s="426">
        <f t="shared" si="62"/>
        <v>0</v>
      </c>
      <c r="AB42" s="426">
        <f t="shared" si="63"/>
        <v>0</v>
      </c>
      <c r="AC42" s="426">
        <f t="shared" si="64"/>
        <v>0</v>
      </c>
      <c r="AD42" s="426">
        <f t="shared" si="65"/>
        <v>0</v>
      </c>
      <c r="AE42" s="426">
        <f t="shared" si="66"/>
        <v>0</v>
      </c>
      <c r="AF42" s="426">
        <f t="shared" si="67"/>
        <v>0</v>
      </c>
      <c r="AG42" s="426">
        <f t="shared" si="68"/>
        <v>0</v>
      </c>
      <c r="AH42" s="426">
        <f t="shared" si="69"/>
        <v>0</v>
      </c>
      <c r="AI42" s="426">
        <f t="shared" si="70"/>
        <v>0</v>
      </c>
      <c r="AJ42" s="426">
        <f t="shared" si="71"/>
        <v>0</v>
      </c>
      <c r="AK42" s="426">
        <f t="shared" si="72"/>
        <v>0</v>
      </c>
      <c r="AL42" s="426">
        <f t="shared" si="73"/>
        <v>0</v>
      </c>
      <c r="AM42" s="426">
        <f t="shared" si="74"/>
        <v>0</v>
      </c>
      <c r="AN42" s="426">
        <f t="shared" si="75"/>
        <v>0</v>
      </c>
      <c r="AO42" s="426">
        <f t="shared" si="76"/>
        <v>0</v>
      </c>
      <c r="AP42" s="426">
        <f t="shared" si="77"/>
        <v>0</v>
      </c>
      <c r="AQ42" s="426">
        <f t="shared" si="78"/>
        <v>0</v>
      </c>
      <c r="AR42" s="426">
        <f t="shared" si="79"/>
        <v>0</v>
      </c>
      <c r="AS42" s="426">
        <f t="shared" si="80"/>
        <v>0</v>
      </c>
      <c r="AT42" s="426">
        <f t="shared" si="81"/>
        <v>0</v>
      </c>
      <c r="AU42" s="426">
        <f t="shared" si="82"/>
        <v>0</v>
      </c>
      <c r="AV42" s="426">
        <f t="shared" si="83"/>
        <v>0</v>
      </c>
      <c r="AW42" s="426">
        <f t="shared" si="84"/>
        <v>0</v>
      </c>
    </row>
    <row r="43" spans="1:49" s="421" customFormat="1" ht="12" customHeight="1">
      <c r="A43" s="73">
        <f t="array" ref="A43">IF(C43&lt;&gt;0,SUM(($C$11:C43&lt;&gt;0)*1),"")</f>
        <v>33</v>
      </c>
      <c r="B43" s="316">
        <v>41820</v>
      </c>
      <c r="C43" s="428" t="s">
        <v>173</v>
      </c>
      <c r="D43" s="428">
        <f t="shared" si="43"/>
        <v>41820</v>
      </c>
      <c r="E43" s="429" t="s">
        <v>178</v>
      </c>
      <c r="F43" s="102">
        <f>AQ46</f>
        <v>0</v>
      </c>
      <c r="G43" s="430" t="s">
        <v>161</v>
      </c>
      <c r="H43" s="430" t="s">
        <v>167</v>
      </c>
      <c r="I43" s="73">
        <f t="shared" si="44"/>
        <v>33</v>
      </c>
      <c r="J43" s="426">
        <f t="shared" si="45"/>
        <v>0</v>
      </c>
      <c r="K43" s="426">
        <f t="shared" si="46"/>
        <v>0</v>
      </c>
      <c r="L43" s="426">
        <f t="shared" si="47"/>
        <v>0</v>
      </c>
      <c r="M43" s="426">
        <f t="shared" si="48"/>
        <v>0</v>
      </c>
      <c r="N43" s="426">
        <f t="shared" si="49"/>
        <v>0</v>
      </c>
      <c r="O43" s="426">
        <f t="shared" si="50"/>
        <v>0</v>
      </c>
      <c r="P43" s="426">
        <f t="shared" si="51"/>
        <v>0</v>
      </c>
      <c r="Q43" s="426">
        <f t="shared" si="52"/>
        <v>0</v>
      </c>
      <c r="R43" s="426">
        <f t="shared" si="53"/>
        <v>0</v>
      </c>
      <c r="S43" s="426">
        <f t="shared" si="54"/>
        <v>0</v>
      </c>
      <c r="T43" s="426">
        <f t="shared" si="55"/>
        <v>0</v>
      </c>
      <c r="U43" s="426">
        <f t="shared" si="56"/>
        <v>0</v>
      </c>
      <c r="V43" s="426">
        <f t="shared" si="57"/>
        <v>0</v>
      </c>
      <c r="W43" s="426">
        <f t="shared" si="58"/>
        <v>0</v>
      </c>
      <c r="X43" s="426">
        <f t="shared" si="59"/>
        <v>0</v>
      </c>
      <c r="Y43" s="426">
        <f t="shared" si="60"/>
        <v>0</v>
      </c>
      <c r="Z43" s="426">
        <f t="shared" si="61"/>
        <v>0</v>
      </c>
      <c r="AA43" s="426">
        <f t="shared" si="62"/>
        <v>0</v>
      </c>
      <c r="AB43" s="426">
        <f t="shared" si="63"/>
        <v>0</v>
      </c>
      <c r="AC43" s="426">
        <f t="shared" si="64"/>
        <v>0</v>
      </c>
      <c r="AD43" s="426">
        <f t="shared" si="65"/>
        <v>0</v>
      </c>
      <c r="AE43" s="426">
        <f t="shared" si="66"/>
        <v>0</v>
      </c>
      <c r="AF43" s="426">
        <f t="shared" si="67"/>
        <v>0</v>
      </c>
      <c r="AG43" s="426">
        <f t="shared" si="68"/>
        <v>0</v>
      </c>
      <c r="AH43" s="426">
        <f t="shared" si="69"/>
        <v>0</v>
      </c>
      <c r="AI43" s="426">
        <f t="shared" si="70"/>
        <v>0</v>
      </c>
      <c r="AJ43" s="426">
        <f t="shared" si="71"/>
        <v>0</v>
      </c>
      <c r="AK43" s="426">
        <f t="shared" si="72"/>
        <v>0</v>
      </c>
      <c r="AL43" s="426">
        <f t="shared" si="73"/>
        <v>0</v>
      </c>
      <c r="AM43" s="426">
        <f t="shared" si="74"/>
        <v>0</v>
      </c>
      <c r="AN43" s="426">
        <f t="shared" si="75"/>
        <v>0</v>
      </c>
      <c r="AO43" s="426">
        <f t="shared" si="76"/>
        <v>0</v>
      </c>
      <c r="AP43" s="426">
        <f t="shared" si="77"/>
        <v>0</v>
      </c>
      <c r="AQ43" s="426">
        <f t="shared" si="78"/>
        <v>0</v>
      </c>
      <c r="AR43" s="426">
        <f t="shared" si="79"/>
        <v>0</v>
      </c>
      <c r="AS43" s="426">
        <f t="shared" si="80"/>
        <v>0</v>
      </c>
      <c r="AT43" s="426">
        <f t="shared" si="81"/>
        <v>0</v>
      </c>
      <c r="AU43" s="426">
        <f t="shared" si="82"/>
        <v>0</v>
      </c>
      <c r="AV43" s="426">
        <f t="shared" si="83"/>
        <v>0</v>
      </c>
      <c r="AW43" s="426">
        <f t="shared" si="84"/>
        <v>0</v>
      </c>
    </row>
    <row r="44" spans="1:49" s="421" customFormat="1" ht="12" customHeight="1">
      <c r="A44" s="73">
        <f t="array" ref="A44">IF(C44&lt;&gt;0,SUM(($C$11:C44&lt;&gt;0)*1),"")</f>
        <v>34</v>
      </c>
      <c r="B44" s="316">
        <v>41820</v>
      </c>
      <c r="C44" s="428" t="s">
        <v>173</v>
      </c>
      <c r="D44" s="428">
        <f t="shared" si="43"/>
        <v>41820</v>
      </c>
      <c r="E44" s="429" t="s">
        <v>179</v>
      </c>
      <c r="F44" s="102">
        <f>AR46</f>
        <v>0</v>
      </c>
      <c r="G44" s="430" t="s">
        <v>167</v>
      </c>
      <c r="H44" s="430" t="s">
        <v>163</v>
      </c>
      <c r="I44" s="73">
        <f t="shared" si="44"/>
        <v>34</v>
      </c>
      <c r="J44" s="426">
        <f t="shared" si="45"/>
        <v>0</v>
      </c>
      <c r="K44" s="426">
        <f t="shared" si="46"/>
        <v>0</v>
      </c>
      <c r="L44" s="426">
        <f t="shared" si="47"/>
        <v>0</v>
      </c>
      <c r="M44" s="426">
        <f t="shared" si="48"/>
        <v>0</v>
      </c>
      <c r="N44" s="426">
        <f t="shared" si="49"/>
        <v>0</v>
      </c>
      <c r="O44" s="426">
        <f t="shared" si="50"/>
        <v>0</v>
      </c>
      <c r="P44" s="426">
        <f t="shared" si="51"/>
        <v>0</v>
      </c>
      <c r="Q44" s="426">
        <f t="shared" si="52"/>
        <v>0</v>
      </c>
      <c r="R44" s="426">
        <f t="shared" si="53"/>
        <v>0</v>
      </c>
      <c r="S44" s="426">
        <f t="shared" si="54"/>
        <v>0</v>
      </c>
      <c r="T44" s="426">
        <f t="shared" si="55"/>
        <v>0</v>
      </c>
      <c r="U44" s="426">
        <f t="shared" si="56"/>
        <v>0</v>
      </c>
      <c r="V44" s="426">
        <f t="shared" si="57"/>
        <v>0</v>
      </c>
      <c r="W44" s="426">
        <f t="shared" si="58"/>
        <v>0</v>
      </c>
      <c r="X44" s="426">
        <f t="shared" si="59"/>
        <v>0</v>
      </c>
      <c r="Y44" s="426">
        <f t="shared" si="60"/>
        <v>0</v>
      </c>
      <c r="Z44" s="426">
        <f t="shared" si="61"/>
        <v>0</v>
      </c>
      <c r="AA44" s="426">
        <f t="shared" si="62"/>
        <v>0</v>
      </c>
      <c r="AB44" s="426">
        <f t="shared" si="63"/>
        <v>0</v>
      </c>
      <c r="AC44" s="426">
        <f t="shared" si="64"/>
        <v>0</v>
      </c>
      <c r="AD44" s="426">
        <f t="shared" si="65"/>
        <v>0</v>
      </c>
      <c r="AE44" s="426">
        <f t="shared" si="66"/>
        <v>0</v>
      </c>
      <c r="AF44" s="426">
        <f t="shared" si="67"/>
        <v>0</v>
      </c>
      <c r="AG44" s="426">
        <f t="shared" si="68"/>
        <v>0</v>
      </c>
      <c r="AH44" s="426">
        <f t="shared" si="69"/>
        <v>0</v>
      </c>
      <c r="AI44" s="426">
        <f t="shared" si="70"/>
        <v>0</v>
      </c>
      <c r="AJ44" s="426">
        <f t="shared" si="71"/>
        <v>0</v>
      </c>
      <c r="AK44" s="426">
        <f t="shared" si="72"/>
        <v>0</v>
      </c>
      <c r="AL44" s="426">
        <f t="shared" si="73"/>
        <v>0</v>
      </c>
      <c r="AM44" s="426">
        <f t="shared" si="74"/>
        <v>0</v>
      </c>
      <c r="AN44" s="426">
        <f t="shared" si="75"/>
        <v>0</v>
      </c>
      <c r="AO44" s="426">
        <f t="shared" si="76"/>
        <v>0</v>
      </c>
      <c r="AP44" s="426">
        <f t="shared" si="77"/>
        <v>0</v>
      </c>
      <c r="AQ44" s="426">
        <f t="shared" si="78"/>
        <v>0</v>
      </c>
      <c r="AR44" s="426">
        <f t="shared" si="79"/>
        <v>0</v>
      </c>
      <c r="AS44" s="426">
        <f t="shared" si="80"/>
        <v>0</v>
      </c>
      <c r="AT44" s="426">
        <f t="shared" si="81"/>
        <v>0</v>
      </c>
      <c r="AU44" s="426">
        <f t="shared" si="82"/>
        <v>0</v>
      </c>
      <c r="AV44" s="426">
        <f t="shared" si="83"/>
        <v>0</v>
      </c>
      <c r="AW44" s="426">
        <f t="shared" si="84"/>
        <v>0</v>
      </c>
    </row>
    <row r="45" spans="1:49" s="421" customFormat="1" ht="12" customHeight="1">
      <c r="A45" s="73" t="str">
        <f t="array" ref="A45">IF(C45&lt;&gt;0,SUM(($C$11:C45&lt;&gt;0)*1),"")</f>
        <v/>
      </c>
      <c r="B45" s="316"/>
      <c r="C45" s="431"/>
      <c r="D45" s="316"/>
      <c r="E45" s="423"/>
      <c r="F45" s="75"/>
      <c r="G45" s="432"/>
      <c r="H45" s="432"/>
      <c r="I45" s="73" t="str">
        <f>A45</f>
        <v/>
      </c>
      <c r="J45" s="426">
        <f t="shared" si="45"/>
        <v>0</v>
      </c>
      <c r="K45" s="426">
        <f t="shared" si="46"/>
        <v>0</v>
      </c>
      <c r="L45" s="426">
        <f t="shared" si="47"/>
        <v>0</v>
      </c>
      <c r="M45" s="426">
        <f t="shared" si="48"/>
        <v>0</v>
      </c>
      <c r="N45" s="426">
        <f t="shared" si="49"/>
        <v>0</v>
      </c>
      <c r="O45" s="426">
        <f t="shared" si="50"/>
        <v>0</v>
      </c>
      <c r="P45" s="426">
        <f t="shared" si="51"/>
        <v>0</v>
      </c>
      <c r="Q45" s="426">
        <f t="shared" si="52"/>
        <v>0</v>
      </c>
      <c r="R45" s="426">
        <f t="shared" si="53"/>
        <v>0</v>
      </c>
      <c r="S45" s="426">
        <f t="shared" si="54"/>
        <v>0</v>
      </c>
      <c r="T45" s="426">
        <f t="shared" si="55"/>
        <v>0</v>
      </c>
      <c r="U45" s="426">
        <f t="shared" si="56"/>
        <v>0</v>
      </c>
      <c r="V45" s="426">
        <f t="shared" si="57"/>
        <v>0</v>
      </c>
      <c r="W45" s="426">
        <f t="shared" si="58"/>
        <v>0</v>
      </c>
      <c r="X45" s="426">
        <f t="shared" si="59"/>
        <v>0</v>
      </c>
      <c r="Y45" s="426">
        <f t="shared" si="60"/>
        <v>0</v>
      </c>
      <c r="Z45" s="426">
        <f t="shared" si="61"/>
        <v>0</v>
      </c>
      <c r="AA45" s="426">
        <f t="shared" si="62"/>
        <v>0</v>
      </c>
      <c r="AB45" s="426">
        <f t="shared" si="63"/>
        <v>0</v>
      </c>
      <c r="AC45" s="426">
        <f t="shared" si="64"/>
        <v>0</v>
      </c>
      <c r="AD45" s="426">
        <f t="shared" si="65"/>
        <v>0</v>
      </c>
      <c r="AE45" s="426">
        <f t="shared" si="66"/>
        <v>0</v>
      </c>
      <c r="AF45" s="426">
        <f t="shared" si="67"/>
        <v>0</v>
      </c>
      <c r="AG45" s="426">
        <f t="shared" si="68"/>
        <v>0</v>
      </c>
      <c r="AH45" s="426">
        <f t="shared" si="69"/>
        <v>0</v>
      </c>
      <c r="AI45" s="426">
        <f t="shared" si="70"/>
        <v>0</v>
      </c>
      <c r="AJ45" s="426">
        <f t="shared" si="71"/>
        <v>0</v>
      </c>
      <c r="AK45" s="426">
        <f t="shared" si="72"/>
        <v>0</v>
      </c>
      <c r="AL45" s="426">
        <f t="shared" si="73"/>
        <v>0</v>
      </c>
      <c r="AM45" s="426">
        <f t="shared" si="74"/>
        <v>0</v>
      </c>
      <c r="AN45" s="426">
        <f t="shared" si="75"/>
        <v>0</v>
      </c>
      <c r="AO45" s="426">
        <f t="shared" si="76"/>
        <v>0</v>
      </c>
      <c r="AP45" s="426">
        <f t="shared" si="77"/>
        <v>0</v>
      </c>
      <c r="AQ45" s="426">
        <f t="shared" si="78"/>
        <v>0</v>
      </c>
      <c r="AR45" s="426">
        <f t="shared" si="79"/>
        <v>0</v>
      </c>
      <c r="AS45" s="426">
        <f t="shared" si="80"/>
        <v>0</v>
      </c>
      <c r="AT45" s="426">
        <f t="shared" si="81"/>
        <v>0</v>
      </c>
      <c r="AU45" s="426">
        <f t="shared" si="82"/>
        <v>0</v>
      </c>
      <c r="AV45" s="426">
        <f t="shared" si="83"/>
        <v>0</v>
      </c>
      <c r="AW45" s="426">
        <f t="shared" si="84"/>
        <v>0</v>
      </c>
    </row>
    <row r="46" spans="1:49" s="421" customFormat="1" ht="12" customHeight="1">
      <c r="A46" s="433"/>
      <c r="B46" s="433"/>
      <c r="C46" s="433"/>
      <c r="D46" s="433"/>
      <c r="E46" s="423" t="s">
        <v>275</v>
      </c>
      <c r="F46" s="433"/>
      <c r="G46" s="432"/>
      <c r="H46" s="432"/>
      <c r="I46" s="433"/>
      <c r="J46" s="433">
        <f t="shared" ref="J46:AW46" si="85">SUM(J11:J45)</f>
        <v>0</v>
      </c>
      <c r="K46" s="433">
        <f t="shared" si="85"/>
        <v>99500000</v>
      </c>
      <c r="L46" s="433">
        <f t="shared" si="85"/>
        <v>132500000</v>
      </c>
      <c r="M46" s="433">
        <f t="shared" si="85"/>
        <v>132723500</v>
      </c>
      <c r="N46" s="433">
        <f t="shared" si="85"/>
        <v>8838500</v>
      </c>
      <c r="O46" s="433">
        <f t="shared" si="85"/>
        <v>0</v>
      </c>
      <c r="P46" s="433">
        <f t="shared" si="85"/>
        <v>0</v>
      </c>
      <c r="Q46" s="433">
        <f t="shared" si="85"/>
        <v>0</v>
      </c>
      <c r="R46" s="433">
        <f t="shared" si="85"/>
        <v>55000000</v>
      </c>
      <c r="S46" s="433">
        <f t="shared" si="85"/>
        <v>0</v>
      </c>
      <c r="T46" s="433">
        <f t="shared" si="85"/>
        <v>132432000</v>
      </c>
      <c r="U46" s="433">
        <f t="shared" si="85"/>
        <v>129932000</v>
      </c>
      <c r="V46" s="433">
        <f t="shared" si="85"/>
        <v>0</v>
      </c>
      <c r="W46" s="433">
        <f t="shared" si="85"/>
        <v>0</v>
      </c>
      <c r="X46" s="433">
        <f t="shared" si="85"/>
        <v>0</v>
      </c>
      <c r="Y46" s="433">
        <f t="shared" si="85"/>
        <v>0</v>
      </c>
      <c r="Z46" s="433">
        <f t="shared" si="85"/>
        <v>33000000</v>
      </c>
      <c r="AA46" s="433">
        <f t="shared" si="85"/>
        <v>33000000</v>
      </c>
      <c r="AB46" s="433">
        <f t="shared" si="85"/>
        <v>0</v>
      </c>
      <c r="AC46" s="433">
        <f t="shared" si="85"/>
        <v>0</v>
      </c>
      <c r="AD46" s="433">
        <f t="shared" si="85"/>
        <v>0</v>
      </c>
      <c r="AE46" s="433">
        <f t="shared" si="85"/>
        <v>0</v>
      </c>
      <c r="AF46" s="433">
        <f t="shared" si="85"/>
        <v>0</v>
      </c>
      <c r="AG46" s="433">
        <f t="shared" si="85"/>
        <v>0</v>
      </c>
      <c r="AH46" s="433">
        <f t="shared" si="85"/>
        <v>0</v>
      </c>
      <c r="AI46" s="433">
        <f t="shared" si="85"/>
        <v>0</v>
      </c>
      <c r="AJ46" s="433">
        <f t="shared" si="85"/>
        <v>0</v>
      </c>
      <c r="AK46" s="433">
        <f t="shared" si="85"/>
        <v>0</v>
      </c>
      <c r="AL46" s="433">
        <f t="shared" si="85"/>
        <v>0</v>
      </c>
      <c r="AM46" s="433">
        <f t="shared" si="85"/>
        <v>0</v>
      </c>
      <c r="AN46" s="433">
        <f t="shared" si="85"/>
        <v>0</v>
      </c>
      <c r="AO46" s="433">
        <f t="shared" si="85"/>
        <v>0</v>
      </c>
      <c r="AP46" s="433">
        <f t="shared" si="85"/>
        <v>0</v>
      </c>
      <c r="AQ46" s="433">
        <f t="shared" si="85"/>
        <v>0</v>
      </c>
      <c r="AR46" s="433">
        <f t="shared" si="85"/>
        <v>0</v>
      </c>
      <c r="AS46" s="433">
        <f t="shared" si="85"/>
        <v>0</v>
      </c>
      <c r="AT46" s="433">
        <f t="shared" si="85"/>
        <v>0</v>
      </c>
      <c r="AU46" s="433">
        <f t="shared" si="85"/>
        <v>0</v>
      </c>
      <c r="AV46" s="433">
        <f t="shared" si="85"/>
        <v>0</v>
      </c>
      <c r="AW46" s="433">
        <f t="shared" si="85"/>
        <v>0</v>
      </c>
    </row>
    <row r="47" spans="1:49" s="421" customFormat="1" ht="12" customHeight="1">
      <c r="A47" s="434"/>
      <c r="B47" s="434"/>
      <c r="C47" s="434"/>
      <c r="D47" s="434"/>
      <c r="E47" s="435" t="s">
        <v>328</v>
      </c>
      <c r="F47" s="434"/>
      <c r="G47" s="436"/>
      <c r="H47" s="436"/>
      <c r="I47" s="434"/>
      <c r="J47" s="456">
        <f>MAX(J10+J46-K10-K46,0)</f>
        <v>2561943500</v>
      </c>
      <c r="K47" s="456">
        <f>MAX(K10+K46-J10-J46,0)</f>
        <v>0</v>
      </c>
      <c r="L47" s="456">
        <f>MAX(L10+L46-M10-M46,0)</f>
        <v>912497</v>
      </c>
      <c r="M47" s="456">
        <f>MAX(M10+M46-L10-L46,0)</f>
        <v>0</v>
      </c>
      <c r="N47" s="456">
        <f>MAX(N10+N46-O10-O46,0)</f>
        <v>11589327</v>
      </c>
      <c r="O47" s="456">
        <f>MAX(O10+O46-N10-N46,0)</f>
        <v>0</v>
      </c>
      <c r="P47" s="456">
        <f>MAX(P10+P46-Q10-Q46,0)</f>
        <v>0</v>
      </c>
      <c r="Q47" s="456">
        <f>MAX(Q10+Q46-P10-P46,0)</f>
        <v>0</v>
      </c>
      <c r="R47" s="456">
        <f>MAX(R10+R46-S10-S46,0)</f>
        <v>55000000</v>
      </c>
      <c r="S47" s="456">
        <f>MAX(S10+S46-R10-R46,0)</f>
        <v>0</v>
      </c>
      <c r="T47" s="456">
        <f>MAX(T10+T46-U10-U46,0)</f>
        <v>1183433400</v>
      </c>
      <c r="U47" s="456">
        <f>MAX(U10+U46-T10-T46,0)</f>
        <v>0</v>
      </c>
      <c r="V47" s="456">
        <f>MAX(V10+V46-W10-W46,0)</f>
        <v>0</v>
      </c>
      <c r="W47" s="456">
        <f>MAX(W10+W46-V10-V46,0)</f>
        <v>0</v>
      </c>
      <c r="X47" s="456">
        <f>MAX(X10+X46-Y10-Y46,0)</f>
        <v>0</v>
      </c>
      <c r="Y47" s="456">
        <f>MAX(Y10+Y46-X10-X46,0)</f>
        <v>0</v>
      </c>
      <c r="Z47" s="456">
        <f>MAX(Z10+Z46-AA10-AA46,0)</f>
        <v>0</v>
      </c>
      <c r="AA47" s="456">
        <f>MAX(AA10+AA46-Z10-Z46,0)</f>
        <v>0</v>
      </c>
      <c r="AB47" s="456">
        <f>MAX(AB10+AB46-AC10-AC46,0)</f>
        <v>0</v>
      </c>
      <c r="AC47" s="456">
        <f>MAX(AC10+AC46-AB10-AB46,0)</f>
        <v>0</v>
      </c>
      <c r="AD47" s="456">
        <f>MAX(AD10+AD46-AE10-AE46,0)</f>
        <v>0</v>
      </c>
      <c r="AE47" s="456">
        <f>MAX(AE10+AE46-AD10-AD46,0)</f>
        <v>4000000000</v>
      </c>
      <c r="AF47" s="456">
        <f>MAX(AF10+AF46-AG10-AG46,0)</f>
        <v>124728000</v>
      </c>
      <c r="AG47" s="456">
        <f>MAX(AG10+AG46-AF10-AF46,0)</f>
        <v>0</v>
      </c>
      <c r="AH47" s="456">
        <f>MAX(AH10+AH46-AI10-AI46,0)</f>
        <v>0</v>
      </c>
      <c r="AI47" s="456">
        <f>MAX(AI10+AI46-AH10-AH46,0)</f>
        <v>0</v>
      </c>
      <c r="AJ47" s="456">
        <f>MAX(AJ10+AJ46-AK10-AK46,0)</f>
        <v>0</v>
      </c>
      <c r="AK47" s="456">
        <f>MAX(AK10+AK46-AJ10-AJ46,0)</f>
        <v>0</v>
      </c>
      <c r="AL47" s="456">
        <f>MAX(AL10+AL46-AM10-AM46,0)</f>
        <v>0</v>
      </c>
      <c r="AM47" s="456">
        <f>MAX(AM10+AM46-AL10-AL46,0)</f>
        <v>0</v>
      </c>
      <c r="AN47" s="456">
        <f>MAX(AN10+AN46-AO10-AO46,0)</f>
        <v>0</v>
      </c>
      <c r="AO47" s="456">
        <f>MAX(AO10+AO46-AN10-AN46,0)</f>
        <v>0</v>
      </c>
      <c r="AP47" s="456">
        <f>MAX(AP10+AP46-AQ10-AQ46,0)</f>
        <v>0</v>
      </c>
      <c r="AQ47" s="456">
        <f>MAX(AQ10+AQ46-AP10-AP46,0)</f>
        <v>0</v>
      </c>
      <c r="AR47" s="456">
        <f>MAX(AR10+AR46-AS10-AS46,0)</f>
        <v>0</v>
      </c>
      <c r="AS47" s="456">
        <f>MAX(AS10+AS46-AR10-AR46,0)</f>
        <v>0</v>
      </c>
      <c r="AT47" s="456">
        <f>MAX(AT10+AT46-AU10-AU46,0)</f>
        <v>0</v>
      </c>
      <c r="AU47" s="456">
        <f>MAX(AU10+AU46-AT10-AT46,0)</f>
        <v>0</v>
      </c>
      <c r="AV47" s="456">
        <f>MAX(AV10+AV46-AW10-AW46,0)</f>
        <v>0</v>
      </c>
      <c r="AW47" s="456">
        <f>MAX(AW10+AW46-AV10-AV46,0)</f>
        <v>0</v>
      </c>
    </row>
    <row r="48" spans="1:49" s="421" customFormat="1" ht="12" customHeight="1">
      <c r="A48" s="438"/>
      <c r="B48" s="438"/>
      <c r="C48" s="439"/>
      <c r="D48" s="438"/>
      <c r="E48" s="440" t="s">
        <v>329</v>
      </c>
      <c r="F48" s="438"/>
      <c r="G48" s="441"/>
      <c r="H48" s="441"/>
      <c r="I48" s="438"/>
      <c r="J48" s="438">
        <f>J46+'01-03'!J62</f>
        <v>0</v>
      </c>
      <c r="K48" s="438">
        <f>K46+'01-03'!K62</f>
        <v>462700000</v>
      </c>
      <c r="L48" s="438">
        <f>L46+'01-03'!L62</f>
        <v>495700000</v>
      </c>
      <c r="M48" s="438">
        <f>M46+'01-03'!M62</f>
        <v>495416003</v>
      </c>
      <c r="N48" s="438">
        <f>N46+'01-03'!N62</f>
        <v>11589327</v>
      </c>
      <c r="O48" s="438">
        <f>O46+'01-03'!O62</f>
        <v>0</v>
      </c>
      <c r="P48" s="438">
        <f>P46+'01-03'!P62</f>
        <v>0</v>
      </c>
      <c r="Q48" s="438">
        <f>Q46+'01-03'!Q62</f>
        <v>0</v>
      </c>
      <c r="R48" s="438">
        <f>R46+'01-03'!R62</f>
        <v>55000000</v>
      </c>
      <c r="S48" s="438">
        <f>S46+'01-03'!S62</f>
        <v>0</v>
      </c>
      <c r="T48" s="438">
        <f>T46+'01-03'!T62</f>
        <v>493285400</v>
      </c>
      <c r="U48" s="438">
        <f>U46+'01-03'!U62</f>
        <v>159852000</v>
      </c>
      <c r="V48" s="438">
        <f>V46+'01-03'!V62</f>
        <v>0</v>
      </c>
      <c r="W48" s="438">
        <f>W46+'01-03'!W62</f>
        <v>0</v>
      </c>
      <c r="X48" s="438">
        <f>X46+'01-03'!X62</f>
        <v>0</v>
      </c>
      <c r="Y48" s="438">
        <f>Y46+'01-03'!Y62</f>
        <v>0</v>
      </c>
      <c r="Z48" s="438">
        <f>Z46+'01-03'!Z62</f>
        <v>92500000</v>
      </c>
      <c r="AA48" s="438">
        <f>AA46+'01-03'!AA62</f>
        <v>92500000</v>
      </c>
      <c r="AB48" s="438">
        <f>AB46+'01-03'!AB62</f>
        <v>0</v>
      </c>
      <c r="AC48" s="438">
        <f>AC46+'01-03'!AC62</f>
        <v>0</v>
      </c>
      <c r="AD48" s="438">
        <f>AD46+'01-03'!AD62</f>
        <v>0</v>
      </c>
      <c r="AE48" s="438">
        <f>AE46+'01-03'!AE62</f>
        <v>0</v>
      </c>
      <c r="AF48" s="438">
        <f>AF46+'01-03'!AF62</f>
        <v>2041200</v>
      </c>
      <c r="AG48" s="438">
        <f>AG46+'01-03'!AG62</f>
        <v>0</v>
      </c>
      <c r="AH48" s="438">
        <f>AH46+'01-03'!AH62</f>
        <v>0</v>
      </c>
      <c r="AI48" s="438">
        <f>AI46+'01-03'!AI62</f>
        <v>2041200</v>
      </c>
      <c r="AJ48" s="438">
        <f>AJ46+'01-03'!AJ62</f>
        <v>0</v>
      </c>
      <c r="AK48" s="438">
        <f>AK46+'01-03'!AK62</f>
        <v>0</v>
      </c>
      <c r="AL48" s="438">
        <f>AL46+'01-03'!AL62</f>
        <v>0</v>
      </c>
      <c r="AM48" s="438">
        <f>AM46+'01-03'!AM62</f>
        <v>0</v>
      </c>
      <c r="AN48" s="438">
        <f>AN46+'01-03'!AN62</f>
        <v>0</v>
      </c>
      <c r="AO48" s="438">
        <f>AO46+'01-03'!AO62</f>
        <v>0</v>
      </c>
      <c r="AP48" s="438">
        <f>AP46+'01-03'!AP62</f>
        <v>0</v>
      </c>
      <c r="AQ48" s="438">
        <f>AQ46+'01-03'!AQ62</f>
        <v>0</v>
      </c>
      <c r="AR48" s="438">
        <f>AR46+'01-03'!AR62</f>
        <v>0</v>
      </c>
      <c r="AS48" s="438">
        <f>AS46+'01-03'!AS62</f>
        <v>0</v>
      </c>
      <c r="AT48" s="438">
        <f>AT46+'01-03'!AT62</f>
        <v>0</v>
      </c>
      <c r="AU48" s="438">
        <f>AU46+'01-03'!AU62</f>
        <v>0</v>
      </c>
      <c r="AV48" s="438">
        <f>AV46+'01-03'!AV62</f>
        <v>0</v>
      </c>
      <c r="AW48" s="438">
        <f>AW46+'01-03'!AW62</f>
        <v>0</v>
      </c>
    </row>
    <row r="49" spans="2:48" ht="12" customHeight="1">
      <c r="B49" s="443"/>
      <c r="C49" s="444"/>
      <c r="D49" s="444"/>
      <c r="E49" s="444"/>
      <c r="F49" s="444"/>
      <c r="G49" s="445"/>
      <c r="H49" s="445"/>
      <c r="I49" s="444"/>
      <c r="J49" s="444"/>
      <c r="K49" s="444"/>
    </row>
    <row r="50" spans="2:48">
      <c r="M50" s="446"/>
      <c r="O50" s="446"/>
      <c r="P50" s="446"/>
      <c r="Q50" s="446"/>
      <c r="R50" s="446"/>
      <c r="S50" s="446"/>
      <c r="T50" s="446"/>
      <c r="AH50" s="447" t="s">
        <v>331</v>
      </c>
      <c r="AI50" s="448"/>
      <c r="AJ50" s="448"/>
      <c r="AK50" s="448"/>
      <c r="AL50" s="448"/>
      <c r="AM50" s="448"/>
      <c r="AN50" s="449"/>
      <c r="AO50" s="449"/>
      <c r="AP50" s="448"/>
    </row>
    <row r="51" spans="2:48">
      <c r="M51" s="446"/>
      <c r="O51" s="446"/>
      <c r="P51" s="446"/>
      <c r="Q51" s="446"/>
      <c r="R51" s="446"/>
      <c r="S51" s="446"/>
      <c r="T51" s="446"/>
      <c r="AH51" s="450" t="s">
        <v>433</v>
      </c>
      <c r="AI51" s="448"/>
      <c r="AJ51" s="448"/>
      <c r="AK51" s="448"/>
      <c r="AL51" s="448"/>
      <c r="AM51" s="448"/>
      <c r="AN51" s="449"/>
      <c r="AO51" s="449"/>
      <c r="AP51" s="448"/>
    </row>
    <row r="52" spans="2:48">
      <c r="M52" s="446"/>
      <c r="O52" s="446"/>
      <c r="P52" s="446"/>
      <c r="Q52" s="446"/>
      <c r="R52" s="446"/>
      <c r="S52" s="446"/>
      <c r="T52" s="446"/>
      <c r="AH52" s="448"/>
      <c r="AI52" s="448"/>
      <c r="AJ52" s="448"/>
      <c r="AK52" s="448"/>
      <c r="AL52" s="448"/>
      <c r="AM52" s="448"/>
      <c r="AN52" s="448"/>
      <c r="AO52" s="448"/>
      <c r="AP52" s="449"/>
    </row>
    <row r="53" spans="2:48">
      <c r="M53" s="446"/>
      <c r="O53" s="446"/>
      <c r="P53" s="446"/>
      <c r="Q53" s="446"/>
      <c r="R53" s="446"/>
      <c r="S53" s="446"/>
      <c r="T53" s="446"/>
      <c r="AH53" s="448"/>
      <c r="AI53" s="448"/>
      <c r="AJ53" s="448"/>
      <c r="AK53" s="448"/>
      <c r="AL53" s="448"/>
      <c r="AM53" s="448"/>
      <c r="AN53" s="448"/>
      <c r="AO53" s="448"/>
      <c r="AP53" s="449"/>
      <c r="AV53" s="451" t="str">
        <f>"Ngày 30 tháng 06 năm 2014 "</f>
        <v xml:space="preserve">Ngày 30 tháng 06 năm 2014 </v>
      </c>
    </row>
    <row r="54" spans="2:48">
      <c r="M54" s="446"/>
      <c r="O54" s="446"/>
      <c r="P54" s="446"/>
      <c r="Q54" s="446"/>
      <c r="R54" s="446"/>
      <c r="S54" s="446"/>
      <c r="T54" s="446"/>
      <c r="AH54" s="448"/>
      <c r="AI54" s="452" t="s">
        <v>13</v>
      </c>
      <c r="AJ54" s="448"/>
      <c r="AK54" s="448"/>
      <c r="AL54" s="448"/>
      <c r="AM54" s="448"/>
      <c r="AN54" s="448"/>
      <c r="AO54" s="453" t="s">
        <v>14</v>
      </c>
      <c r="AP54" s="449"/>
      <c r="AV54" s="452" t="s">
        <v>209</v>
      </c>
    </row>
    <row r="55" spans="2:48">
      <c r="M55" s="446"/>
      <c r="O55" s="446"/>
      <c r="P55" s="446"/>
      <c r="Q55" s="446"/>
      <c r="R55" s="446"/>
      <c r="S55" s="446"/>
      <c r="T55" s="446"/>
      <c r="AH55" s="448"/>
      <c r="AI55" s="454" t="s">
        <v>15</v>
      </c>
      <c r="AJ55" s="448"/>
      <c r="AK55" s="448"/>
      <c r="AL55" s="448"/>
      <c r="AM55" s="448"/>
      <c r="AN55" s="448"/>
      <c r="AO55" s="455" t="s">
        <v>15</v>
      </c>
      <c r="AP55" s="449"/>
      <c r="AV55" s="454" t="s">
        <v>246</v>
      </c>
    </row>
    <row r="56" spans="2:48">
      <c r="M56" s="446"/>
      <c r="O56" s="446"/>
      <c r="P56" s="446"/>
      <c r="Q56" s="446"/>
      <c r="R56" s="446"/>
      <c r="S56" s="446"/>
      <c r="T56" s="446"/>
      <c r="AH56" s="448"/>
      <c r="AI56" s="448"/>
      <c r="AJ56" s="448"/>
      <c r="AK56" s="448"/>
      <c r="AL56" s="448"/>
      <c r="AM56" s="448"/>
      <c r="AN56" s="448"/>
      <c r="AO56" s="448"/>
      <c r="AP56" s="449"/>
      <c r="AV56" s="448"/>
    </row>
    <row r="57" spans="2:48">
      <c r="M57" s="446"/>
      <c r="O57" s="446"/>
      <c r="P57" s="446"/>
      <c r="Q57" s="446"/>
      <c r="R57" s="446"/>
      <c r="S57" s="446"/>
      <c r="T57" s="446"/>
      <c r="AV57" s="448"/>
    </row>
    <row r="58" spans="2:48">
      <c r="M58" s="446"/>
      <c r="O58" s="446"/>
      <c r="P58" s="446"/>
      <c r="Q58" s="446"/>
      <c r="R58" s="446"/>
      <c r="S58" s="446"/>
      <c r="T58" s="446"/>
    </row>
    <row r="59" spans="2:48">
      <c r="M59" s="446"/>
      <c r="O59" s="446"/>
      <c r="P59" s="446"/>
      <c r="Q59" s="446"/>
      <c r="R59" s="446"/>
      <c r="S59" s="446"/>
      <c r="T59" s="446"/>
    </row>
    <row r="60" spans="2:48">
      <c r="M60" s="446"/>
      <c r="O60" s="446"/>
      <c r="P60" s="446"/>
      <c r="Q60" s="446"/>
      <c r="R60" s="446"/>
      <c r="S60" s="446"/>
      <c r="T60" s="446"/>
    </row>
    <row r="61" spans="2:48">
      <c r="M61" s="446"/>
      <c r="O61" s="446"/>
      <c r="P61" s="446"/>
      <c r="Q61" s="446"/>
      <c r="R61" s="446"/>
      <c r="S61" s="446"/>
      <c r="T61" s="446"/>
    </row>
    <row r="62" spans="2:48">
      <c r="M62" s="446"/>
      <c r="O62" s="446"/>
      <c r="P62" s="446"/>
      <c r="Q62" s="446"/>
      <c r="R62" s="446"/>
      <c r="S62" s="446"/>
      <c r="T62" s="446"/>
    </row>
    <row r="63" spans="2:48">
      <c r="M63" s="446"/>
      <c r="O63" s="446"/>
      <c r="P63" s="446"/>
      <c r="Q63" s="446"/>
      <c r="R63" s="446"/>
      <c r="S63" s="446"/>
      <c r="T63" s="446"/>
    </row>
    <row r="64" spans="2:48">
      <c r="M64" s="446"/>
      <c r="O64" s="446"/>
      <c r="P64" s="446"/>
      <c r="Q64" s="446"/>
      <c r="R64" s="446"/>
      <c r="S64" s="446"/>
      <c r="T64" s="446"/>
    </row>
    <row r="65" spans="13:20">
      <c r="M65" s="446"/>
      <c r="O65" s="446"/>
      <c r="P65" s="446"/>
      <c r="Q65" s="446"/>
      <c r="R65" s="446"/>
      <c r="S65" s="446"/>
      <c r="T65" s="446"/>
    </row>
    <row r="66" spans="13:20">
      <c r="M66" s="446"/>
      <c r="O66" s="446"/>
      <c r="P66" s="446"/>
      <c r="Q66" s="446"/>
      <c r="R66" s="446"/>
      <c r="S66" s="446"/>
      <c r="T66" s="446"/>
    </row>
    <row r="67" spans="13:20">
      <c r="M67" s="446"/>
      <c r="O67" s="446"/>
      <c r="P67" s="446"/>
      <c r="Q67" s="446"/>
      <c r="R67" s="446"/>
      <c r="S67" s="446"/>
      <c r="T67" s="446"/>
    </row>
    <row r="68" spans="13:20">
      <c r="M68" s="446"/>
      <c r="O68" s="446"/>
      <c r="P68" s="446"/>
      <c r="Q68" s="446"/>
      <c r="R68" s="446"/>
      <c r="S68" s="446"/>
      <c r="T68" s="446"/>
    </row>
    <row r="69" spans="13:20">
      <c r="M69" s="446"/>
      <c r="O69" s="446"/>
      <c r="P69" s="446"/>
      <c r="Q69" s="446"/>
      <c r="R69" s="446"/>
      <c r="S69" s="446"/>
      <c r="T69" s="446"/>
    </row>
    <row r="70" spans="13:20">
      <c r="M70" s="446"/>
      <c r="O70" s="446"/>
      <c r="P70" s="446"/>
      <c r="Q70" s="446"/>
      <c r="R70" s="446"/>
      <c r="S70" s="446"/>
      <c r="T70" s="446"/>
    </row>
    <row r="71" spans="13:20">
      <c r="M71" s="446"/>
      <c r="O71" s="446"/>
      <c r="P71" s="446"/>
      <c r="Q71" s="446"/>
      <c r="R71" s="446"/>
      <c r="S71" s="446"/>
      <c r="T71" s="446"/>
    </row>
    <row r="72" spans="13:20">
      <c r="M72" s="446"/>
      <c r="O72" s="446"/>
      <c r="P72" s="446"/>
      <c r="Q72" s="446"/>
      <c r="R72" s="446"/>
      <c r="S72" s="446"/>
      <c r="T72" s="446"/>
    </row>
    <row r="73" spans="13:20">
      <c r="M73" s="446"/>
      <c r="O73" s="446"/>
      <c r="P73" s="446"/>
      <c r="Q73" s="446"/>
      <c r="R73" s="446"/>
      <c r="S73" s="446"/>
      <c r="T73" s="446"/>
    </row>
    <row r="74" spans="13:20">
      <c r="M74" s="446"/>
      <c r="O74" s="446"/>
      <c r="P74" s="446"/>
      <c r="Q74" s="446"/>
      <c r="R74" s="446"/>
      <c r="S74" s="446"/>
      <c r="T74" s="446"/>
    </row>
    <row r="75" spans="13:20">
      <c r="M75" s="446"/>
      <c r="O75" s="446"/>
      <c r="P75" s="446"/>
      <c r="Q75" s="446"/>
      <c r="R75" s="446"/>
      <c r="S75" s="446"/>
      <c r="T75" s="446"/>
    </row>
    <row r="76" spans="13:20">
      <c r="M76" s="446"/>
      <c r="O76" s="446"/>
      <c r="P76" s="446"/>
      <c r="Q76" s="446"/>
      <c r="R76" s="446"/>
      <c r="S76" s="446"/>
      <c r="T76" s="446"/>
    </row>
    <row r="77" spans="13:20">
      <c r="M77" s="446"/>
      <c r="O77" s="446"/>
      <c r="P77" s="446"/>
      <c r="Q77" s="446"/>
      <c r="R77" s="446"/>
      <c r="S77" s="446"/>
      <c r="T77" s="446"/>
    </row>
    <row r="78" spans="13:20">
      <c r="M78" s="446"/>
      <c r="O78" s="446"/>
      <c r="P78" s="446"/>
      <c r="Q78" s="446"/>
      <c r="R78" s="446"/>
      <c r="S78" s="446"/>
      <c r="T78" s="446"/>
    </row>
    <row r="79" spans="13:20">
      <c r="M79" s="446"/>
      <c r="O79" s="446"/>
      <c r="P79" s="446"/>
      <c r="Q79" s="446"/>
      <c r="R79" s="446"/>
      <c r="S79" s="446"/>
      <c r="T79" s="446"/>
    </row>
    <row r="80" spans="13:20">
      <c r="M80" s="446"/>
      <c r="O80" s="446"/>
      <c r="P80" s="446"/>
      <c r="Q80" s="446"/>
      <c r="R80" s="446"/>
      <c r="S80" s="446"/>
      <c r="T80" s="446"/>
    </row>
    <row r="81" spans="13:20">
      <c r="M81" s="446"/>
      <c r="O81" s="446"/>
      <c r="P81" s="446"/>
      <c r="Q81" s="446"/>
      <c r="R81" s="446"/>
      <c r="S81" s="446"/>
      <c r="T81" s="446"/>
    </row>
    <row r="82" spans="13:20">
      <c r="M82" s="446"/>
      <c r="O82" s="446"/>
      <c r="P82" s="446"/>
      <c r="Q82" s="446"/>
      <c r="R82" s="446"/>
      <c r="S82" s="446"/>
      <c r="T82" s="446"/>
    </row>
    <row r="83" spans="13:20">
      <c r="M83" s="446"/>
      <c r="O83" s="446"/>
      <c r="P83" s="446"/>
      <c r="Q83" s="446"/>
      <c r="R83" s="446"/>
      <c r="S83" s="446"/>
      <c r="T83" s="446"/>
    </row>
    <row r="84" spans="13:20">
      <c r="M84" s="446"/>
      <c r="O84" s="446"/>
      <c r="P84" s="446"/>
      <c r="Q84" s="446"/>
      <c r="R84" s="446"/>
      <c r="S84" s="446"/>
      <c r="T84" s="446"/>
    </row>
    <row r="85" spans="13:20">
      <c r="M85" s="446"/>
      <c r="O85" s="446"/>
      <c r="P85" s="446"/>
      <c r="Q85" s="446"/>
      <c r="R85" s="446"/>
      <c r="S85" s="446"/>
      <c r="T85" s="446"/>
    </row>
    <row r="86" spans="13:20">
      <c r="M86" s="446"/>
      <c r="O86" s="446"/>
      <c r="P86" s="446"/>
      <c r="Q86" s="446"/>
      <c r="R86" s="446"/>
      <c r="S86" s="446"/>
      <c r="T86" s="446"/>
    </row>
    <row r="87" spans="13:20">
      <c r="M87" s="446"/>
      <c r="O87" s="446"/>
      <c r="P87" s="446"/>
      <c r="Q87" s="446"/>
      <c r="R87" s="446"/>
      <c r="S87" s="446"/>
      <c r="T87" s="446"/>
    </row>
    <row r="88" spans="13:20">
      <c r="M88" s="446"/>
      <c r="O88" s="446"/>
      <c r="P88" s="446"/>
      <c r="Q88" s="446"/>
      <c r="R88" s="446"/>
      <c r="S88" s="446"/>
      <c r="T88" s="446"/>
    </row>
    <row r="89" spans="13:20">
      <c r="M89" s="446"/>
      <c r="O89" s="446"/>
      <c r="P89" s="446"/>
      <c r="Q89" s="446"/>
      <c r="R89" s="446"/>
      <c r="S89" s="446"/>
      <c r="T89" s="446"/>
    </row>
    <row r="90" spans="13:20">
      <c r="M90" s="446"/>
      <c r="O90" s="446"/>
      <c r="P90" s="446"/>
      <c r="Q90" s="446"/>
      <c r="R90" s="446"/>
      <c r="S90" s="446"/>
      <c r="T90" s="446"/>
    </row>
    <row r="91" spans="13:20">
      <c r="M91" s="446"/>
      <c r="O91" s="446"/>
      <c r="P91" s="446"/>
      <c r="Q91" s="446"/>
      <c r="R91" s="446"/>
      <c r="S91" s="446"/>
      <c r="T91" s="446"/>
    </row>
    <row r="92" spans="13:20">
      <c r="M92" s="446"/>
      <c r="O92" s="446"/>
      <c r="P92" s="446"/>
      <c r="Q92" s="446"/>
      <c r="R92" s="446"/>
      <c r="S92" s="446"/>
      <c r="T92" s="446"/>
    </row>
    <row r="93" spans="13:20">
      <c r="M93" s="446"/>
      <c r="O93" s="446"/>
      <c r="P93" s="446"/>
      <c r="Q93" s="446"/>
      <c r="R93" s="446"/>
      <c r="S93" s="446"/>
      <c r="T93" s="446"/>
    </row>
    <row r="94" spans="13:20">
      <c r="M94" s="446"/>
      <c r="O94" s="446"/>
      <c r="P94" s="446"/>
      <c r="Q94" s="446"/>
      <c r="R94" s="446"/>
      <c r="S94" s="446"/>
      <c r="T94" s="446"/>
    </row>
    <row r="95" spans="13:20">
      <c r="M95" s="446"/>
      <c r="O95" s="446"/>
      <c r="P95" s="446"/>
      <c r="Q95" s="446"/>
      <c r="R95" s="446"/>
      <c r="S95" s="446"/>
      <c r="T95" s="446"/>
    </row>
    <row r="96" spans="13:20">
      <c r="M96" s="446"/>
      <c r="O96" s="446"/>
      <c r="P96" s="446"/>
      <c r="Q96" s="446"/>
      <c r="R96" s="446"/>
      <c r="S96" s="446"/>
      <c r="T96" s="446"/>
    </row>
    <row r="97" spans="13:20">
      <c r="M97" s="446"/>
      <c r="O97" s="446"/>
      <c r="P97" s="446"/>
      <c r="Q97" s="446"/>
      <c r="R97" s="446"/>
      <c r="S97" s="446"/>
      <c r="T97" s="446"/>
    </row>
    <row r="98" spans="13:20">
      <c r="M98" s="446"/>
      <c r="O98" s="446"/>
      <c r="P98" s="446"/>
      <c r="Q98" s="446"/>
      <c r="R98" s="446"/>
      <c r="S98" s="446"/>
      <c r="T98" s="446"/>
    </row>
    <row r="99" spans="13:20">
      <c r="M99" s="446"/>
      <c r="O99" s="446"/>
      <c r="P99" s="446"/>
      <c r="Q99" s="446"/>
      <c r="R99" s="446"/>
      <c r="S99" s="446"/>
      <c r="T99" s="446"/>
    </row>
    <row r="100" spans="13:20">
      <c r="M100" s="446"/>
      <c r="O100" s="446"/>
      <c r="P100" s="446"/>
      <c r="Q100" s="446"/>
      <c r="R100" s="446"/>
      <c r="S100" s="446"/>
      <c r="T100" s="446"/>
    </row>
    <row r="101" spans="13:20">
      <c r="M101" s="446"/>
      <c r="O101" s="446"/>
      <c r="P101" s="446"/>
      <c r="Q101" s="446"/>
      <c r="R101" s="446"/>
      <c r="S101" s="446"/>
      <c r="T101" s="446"/>
    </row>
    <row r="102" spans="13:20">
      <c r="M102" s="446"/>
      <c r="O102" s="446"/>
      <c r="P102" s="446"/>
      <c r="Q102" s="446"/>
      <c r="R102" s="446"/>
      <c r="S102" s="446"/>
      <c r="T102" s="446"/>
    </row>
    <row r="103" spans="13:20">
      <c r="M103" s="446"/>
      <c r="O103" s="446"/>
      <c r="P103" s="446"/>
      <c r="Q103" s="446"/>
      <c r="R103" s="446"/>
      <c r="S103" s="446"/>
      <c r="T103" s="446"/>
    </row>
    <row r="104" spans="13:20">
      <c r="M104" s="446"/>
      <c r="O104" s="446"/>
      <c r="P104" s="446"/>
      <c r="Q104" s="446"/>
      <c r="R104" s="446"/>
      <c r="S104" s="446"/>
      <c r="T104" s="446"/>
    </row>
    <row r="105" spans="13:20">
      <c r="M105" s="446"/>
      <c r="O105" s="446"/>
      <c r="P105" s="446"/>
      <c r="Q105" s="446"/>
      <c r="R105" s="446"/>
      <c r="S105" s="446"/>
      <c r="T105" s="446"/>
    </row>
    <row r="106" spans="13:20">
      <c r="M106" s="446"/>
      <c r="O106" s="446"/>
      <c r="P106" s="446"/>
      <c r="Q106" s="446"/>
      <c r="R106" s="446"/>
      <c r="S106" s="446"/>
      <c r="T106" s="446"/>
    </row>
    <row r="107" spans="13:20">
      <c r="M107" s="446"/>
      <c r="O107" s="446"/>
      <c r="P107" s="446"/>
      <c r="Q107" s="446"/>
      <c r="R107" s="446"/>
      <c r="S107" s="446"/>
      <c r="T107" s="446"/>
    </row>
    <row r="108" spans="13:20">
      <c r="M108" s="446"/>
      <c r="O108" s="446"/>
      <c r="P108" s="446"/>
      <c r="Q108" s="446"/>
      <c r="R108" s="446"/>
      <c r="S108" s="446"/>
      <c r="T108" s="446"/>
    </row>
  </sheetData>
  <autoFilter ref="A9:AW48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09"/>
  <sheetViews>
    <sheetView topLeftCell="A7" workbookViewId="0">
      <pane xSplit="8" ySplit="5" topLeftCell="AH60" activePane="bottomRight" state="frozen"/>
      <selection activeCell="E170" sqref="E170"/>
      <selection pane="topRight" activeCell="E170" sqref="E170"/>
      <selection pane="bottomLeft" activeCell="E170" sqref="E170"/>
      <selection pane="bottomRight" activeCell="F83" sqref="F83"/>
    </sheetView>
  </sheetViews>
  <sheetFormatPr defaultRowHeight="12.75"/>
  <cols>
    <col min="1" max="1" width="4.85546875" style="399" customWidth="1"/>
    <col min="2" max="2" width="9.28515625" style="399" customWidth="1"/>
    <col min="3" max="3" width="7.85546875" style="399" customWidth="1"/>
    <col min="4" max="4" width="9.7109375" style="399" customWidth="1"/>
    <col min="5" max="5" width="45.140625" style="399" customWidth="1"/>
    <col min="6" max="6" width="15.42578125" style="457" customWidth="1"/>
    <col min="7" max="8" width="5.85546875" style="400" customWidth="1"/>
    <col min="9" max="9" width="4.85546875" style="399" customWidth="1"/>
    <col min="10" max="10" width="14.85546875" style="399" customWidth="1"/>
    <col min="11" max="11" width="14.140625" style="399" customWidth="1"/>
    <col min="12" max="12" width="15.7109375" style="399" customWidth="1"/>
    <col min="13" max="13" width="15.5703125" style="399" customWidth="1"/>
    <col min="14" max="14" width="16.5703125" style="399" customWidth="1"/>
    <col min="15" max="15" width="13.28515625" style="399" customWidth="1"/>
    <col min="16" max="16" width="12.85546875" style="399" customWidth="1"/>
    <col min="17" max="17" width="12.42578125" style="399" customWidth="1"/>
    <col min="18" max="18" width="14.7109375" style="399" customWidth="1"/>
    <col min="19" max="19" width="5.5703125" style="399" customWidth="1"/>
    <col min="20" max="20" width="14.7109375" style="399" customWidth="1"/>
    <col min="21" max="21" width="15.28515625" style="399" customWidth="1"/>
    <col min="22" max="22" width="6.85546875" style="399" customWidth="1"/>
    <col min="23" max="23" width="7.42578125" style="399" customWidth="1"/>
    <col min="24" max="24" width="10.5703125" style="399" customWidth="1"/>
    <col min="25" max="25" width="10.28515625" style="399" customWidth="1"/>
    <col min="26" max="26" width="12.28515625" style="399" customWidth="1"/>
    <col min="27" max="27" width="13.85546875" style="399" customWidth="1"/>
    <col min="28" max="28" width="5.5703125" style="399" customWidth="1"/>
    <col min="29" max="29" width="15.28515625" style="399" customWidth="1"/>
    <col min="30" max="30" width="5.42578125" style="399" customWidth="1"/>
    <col min="31" max="31" width="13.85546875" style="399" customWidth="1"/>
    <col min="32" max="32" width="12.28515625" style="399" customWidth="1"/>
    <col min="33" max="33" width="5.28515625" style="399" customWidth="1"/>
    <col min="34" max="34" width="15.140625" style="399" customWidth="1"/>
    <col min="35" max="35" width="14.85546875" style="399" customWidth="1"/>
    <col min="36" max="36" width="9.5703125" style="399" customWidth="1"/>
    <col min="37" max="37" width="9.140625" style="399" customWidth="1"/>
    <col min="38" max="38" width="12.7109375" style="399" customWidth="1"/>
    <col min="39" max="39" width="12.5703125" style="399" customWidth="1"/>
    <col min="40" max="40" width="15.140625" style="399" customWidth="1"/>
    <col min="41" max="41" width="15.5703125" style="399" customWidth="1"/>
    <col min="42" max="43" width="10.85546875" style="399" customWidth="1"/>
    <col min="44" max="44" width="7" style="399" customWidth="1"/>
    <col min="45" max="45" width="7.7109375" style="399" customWidth="1"/>
    <col min="46" max="46" width="7.140625" style="399" customWidth="1"/>
    <col min="47" max="47" width="6.7109375" style="399" customWidth="1"/>
    <col min="48" max="48" width="14.7109375" style="399" customWidth="1"/>
    <col min="49" max="49" width="15.140625" style="399" customWidth="1"/>
    <col min="50" max="16384" width="9.140625" style="399"/>
  </cols>
  <sheetData>
    <row r="1" spans="1:49" ht="12.75" customHeight="1">
      <c r="A1" s="395"/>
      <c r="B1" s="396" t="s">
        <v>180</v>
      </c>
      <c r="C1" s="397"/>
      <c r="D1" s="397"/>
      <c r="E1" s="398"/>
      <c r="I1" s="397"/>
      <c r="M1" s="397" t="s">
        <v>303</v>
      </c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8"/>
      <c r="AM1" s="398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282</v>
      </c>
      <c r="C2" s="397"/>
      <c r="D2" s="397"/>
      <c r="E2" s="397"/>
      <c r="I2" s="401"/>
      <c r="M2" s="499" t="s">
        <v>304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402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58"/>
      <c r="G3" s="403"/>
      <c r="H3" s="403"/>
      <c r="I3" s="401"/>
      <c r="M3" s="499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2"/>
      <c r="AM3" s="402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00" t="s">
        <v>170</v>
      </c>
      <c r="C4" s="500"/>
      <c r="D4" s="500"/>
      <c r="E4" s="500"/>
      <c r="F4" s="507"/>
      <c r="G4" s="500"/>
      <c r="H4" s="500"/>
      <c r="I4" s="500"/>
      <c r="J4" s="500"/>
      <c r="K4" s="500"/>
      <c r="L4" s="500"/>
      <c r="M4" s="500"/>
      <c r="N4" s="404"/>
      <c r="O4" s="404"/>
      <c r="P4" s="404"/>
      <c r="Q4" s="404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59"/>
      <c r="AM4" s="459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01" t="s">
        <v>436</v>
      </c>
      <c r="C5" s="501"/>
      <c r="D5" s="501"/>
      <c r="E5" s="501"/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407"/>
      <c r="AL5" s="407"/>
      <c r="AM5" s="407"/>
    </row>
    <row r="7" spans="1:49" ht="13.5" customHeight="1">
      <c r="A7" s="502" t="s">
        <v>50</v>
      </c>
      <c r="B7" s="496" t="s">
        <v>30</v>
      </c>
      <c r="C7" s="504" t="s">
        <v>1</v>
      </c>
      <c r="D7" s="505"/>
      <c r="E7" s="496" t="s">
        <v>0</v>
      </c>
      <c r="F7" s="496" t="s">
        <v>171</v>
      </c>
      <c r="G7" s="506" t="s">
        <v>172</v>
      </c>
      <c r="H7" s="506"/>
      <c r="I7" s="497" t="s">
        <v>50</v>
      </c>
      <c r="J7" s="496" t="s">
        <v>305</v>
      </c>
      <c r="K7" s="496"/>
      <c r="L7" s="496" t="s">
        <v>306</v>
      </c>
      <c r="M7" s="496"/>
      <c r="N7" s="496" t="s">
        <v>307</v>
      </c>
      <c r="O7" s="496"/>
      <c r="P7" s="496" t="s">
        <v>308</v>
      </c>
      <c r="Q7" s="496"/>
      <c r="R7" s="496" t="s">
        <v>309</v>
      </c>
      <c r="S7" s="496"/>
      <c r="T7" s="496" t="s">
        <v>310</v>
      </c>
      <c r="U7" s="496"/>
      <c r="V7" s="496" t="s">
        <v>311</v>
      </c>
      <c r="W7" s="496"/>
      <c r="X7" s="496" t="s">
        <v>312</v>
      </c>
      <c r="Y7" s="496"/>
      <c r="Z7" s="496" t="s">
        <v>313</v>
      </c>
      <c r="AA7" s="496"/>
      <c r="AB7" s="496" t="s">
        <v>314</v>
      </c>
      <c r="AC7" s="496"/>
      <c r="AD7" s="496" t="s">
        <v>315</v>
      </c>
      <c r="AE7" s="496"/>
      <c r="AF7" s="496" t="s">
        <v>316</v>
      </c>
      <c r="AG7" s="496"/>
      <c r="AH7" s="496" t="s">
        <v>317</v>
      </c>
      <c r="AI7" s="496"/>
      <c r="AJ7" s="496" t="s">
        <v>318</v>
      </c>
      <c r="AK7" s="496"/>
      <c r="AL7" s="496" t="s">
        <v>319</v>
      </c>
      <c r="AM7" s="496"/>
      <c r="AN7" s="496" t="s">
        <v>320</v>
      </c>
      <c r="AO7" s="496"/>
      <c r="AP7" s="496" t="s">
        <v>321</v>
      </c>
      <c r="AQ7" s="496"/>
      <c r="AR7" s="496" t="s">
        <v>322</v>
      </c>
      <c r="AS7" s="496"/>
      <c r="AT7" s="496" t="s">
        <v>323</v>
      </c>
      <c r="AU7" s="496"/>
      <c r="AV7" s="496" t="s">
        <v>324</v>
      </c>
      <c r="AW7" s="496"/>
    </row>
    <row r="8" spans="1:49" ht="22.5" customHeight="1">
      <c r="A8" s="503"/>
      <c r="B8" s="496"/>
      <c r="C8" s="410" t="s">
        <v>19</v>
      </c>
      <c r="D8" s="409" t="s">
        <v>42</v>
      </c>
      <c r="E8" s="496"/>
      <c r="F8" s="496"/>
      <c r="G8" s="411" t="s">
        <v>32</v>
      </c>
      <c r="H8" s="411" t="s">
        <v>33</v>
      </c>
      <c r="I8" s="497"/>
      <c r="J8" s="409" t="s">
        <v>32</v>
      </c>
      <c r="K8" s="409" t="s">
        <v>33</v>
      </c>
      <c r="L8" s="409" t="s">
        <v>32</v>
      </c>
      <c r="M8" s="409" t="s">
        <v>33</v>
      </c>
      <c r="N8" s="409" t="s">
        <v>32</v>
      </c>
      <c r="O8" s="409" t="s">
        <v>33</v>
      </c>
      <c r="P8" s="409" t="s">
        <v>32</v>
      </c>
      <c r="Q8" s="409" t="s">
        <v>33</v>
      </c>
      <c r="R8" s="409" t="s">
        <v>32</v>
      </c>
      <c r="S8" s="409" t="s">
        <v>33</v>
      </c>
      <c r="T8" s="409" t="s">
        <v>32</v>
      </c>
      <c r="U8" s="409" t="s">
        <v>33</v>
      </c>
      <c r="V8" s="409" t="s">
        <v>32</v>
      </c>
      <c r="W8" s="409" t="s">
        <v>33</v>
      </c>
      <c r="X8" s="409" t="s">
        <v>32</v>
      </c>
      <c r="Y8" s="409" t="s">
        <v>33</v>
      </c>
      <c r="Z8" s="409" t="s">
        <v>32</v>
      </c>
      <c r="AA8" s="409" t="s">
        <v>33</v>
      </c>
      <c r="AB8" s="409" t="s">
        <v>32</v>
      </c>
      <c r="AC8" s="409" t="s">
        <v>33</v>
      </c>
      <c r="AD8" s="409" t="s">
        <v>32</v>
      </c>
      <c r="AE8" s="409" t="s">
        <v>33</v>
      </c>
      <c r="AF8" s="409" t="s">
        <v>32</v>
      </c>
      <c r="AG8" s="409" t="s">
        <v>33</v>
      </c>
      <c r="AH8" s="409" t="s">
        <v>32</v>
      </c>
      <c r="AI8" s="409" t="s">
        <v>33</v>
      </c>
      <c r="AJ8" s="409" t="s">
        <v>32</v>
      </c>
      <c r="AK8" s="409" t="s">
        <v>33</v>
      </c>
      <c r="AL8" s="409" t="s">
        <v>32</v>
      </c>
      <c r="AM8" s="409" t="s">
        <v>33</v>
      </c>
      <c r="AN8" s="409" t="s">
        <v>32</v>
      </c>
      <c r="AO8" s="409" t="s">
        <v>33</v>
      </c>
      <c r="AP8" s="409" t="s">
        <v>32</v>
      </c>
      <c r="AQ8" s="409" t="s">
        <v>33</v>
      </c>
      <c r="AR8" s="409" t="s">
        <v>32</v>
      </c>
      <c r="AS8" s="409" t="s">
        <v>33</v>
      </c>
      <c r="AT8" s="409" t="s">
        <v>32</v>
      </c>
      <c r="AU8" s="409" t="s">
        <v>33</v>
      </c>
      <c r="AV8" s="409" t="s">
        <v>32</v>
      </c>
      <c r="AW8" s="409" t="s">
        <v>33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73" t="str">
        <f t="array" ref="A10">IF(C10&lt;&gt;0,SUM(($C10:C$16&lt;&gt;0)*1),"")</f>
        <v/>
      </c>
      <c r="B10" s="414"/>
      <c r="C10" s="415"/>
      <c r="D10" s="414"/>
      <c r="E10" s="416" t="s">
        <v>273</v>
      </c>
      <c r="F10" s="417"/>
      <c r="G10" s="418"/>
      <c r="H10" s="418"/>
      <c r="I10" s="419"/>
      <c r="J10" s="420">
        <f>'04-06'!J47</f>
        <v>2561943500</v>
      </c>
      <c r="K10" s="420">
        <f>'04-06'!K47</f>
        <v>0</v>
      </c>
      <c r="L10" s="420">
        <f>'04-06'!L47</f>
        <v>912497</v>
      </c>
      <c r="M10" s="420">
        <f>'04-06'!M47</f>
        <v>0</v>
      </c>
      <c r="N10" s="420">
        <f>'04-06'!N47</f>
        <v>11589327</v>
      </c>
      <c r="O10" s="420">
        <f>'04-06'!O47</f>
        <v>0</v>
      </c>
      <c r="P10" s="420">
        <f>'04-06'!P47</f>
        <v>0</v>
      </c>
      <c r="Q10" s="420">
        <f>'04-06'!Q47</f>
        <v>0</v>
      </c>
      <c r="R10" s="420">
        <f>'04-06'!R47</f>
        <v>55000000</v>
      </c>
      <c r="S10" s="420">
        <f>'04-06'!S47</f>
        <v>0</v>
      </c>
      <c r="T10" s="420">
        <f>'04-06'!T47</f>
        <v>1183433400</v>
      </c>
      <c r="U10" s="420">
        <f>'04-06'!U47</f>
        <v>0</v>
      </c>
      <c r="V10" s="420">
        <f>'04-06'!V47</f>
        <v>0</v>
      </c>
      <c r="W10" s="420">
        <f>'04-06'!W47</f>
        <v>0</v>
      </c>
      <c r="X10" s="420">
        <f>'04-06'!X47</f>
        <v>0</v>
      </c>
      <c r="Y10" s="420">
        <f>'04-06'!Y47</f>
        <v>0</v>
      </c>
      <c r="Z10" s="420">
        <f>'04-06'!Z47</f>
        <v>0</v>
      </c>
      <c r="AA10" s="420">
        <f>'04-06'!AA47</f>
        <v>0</v>
      </c>
      <c r="AB10" s="420">
        <f>'04-06'!AB47</f>
        <v>0</v>
      </c>
      <c r="AC10" s="420">
        <f>'04-06'!AC47</f>
        <v>0</v>
      </c>
      <c r="AD10" s="420">
        <f>'04-06'!AD47</f>
        <v>0</v>
      </c>
      <c r="AE10" s="420">
        <f>'04-06'!AE47</f>
        <v>4000000000</v>
      </c>
      <c r="AF10" s="420">
        <f>'04-06'!AF47</f>
        <v>124728000</v>
      </c>
      <c r="AG10" s="420">
        <f>'04-06'!AG47</f>
        <v>0</v>
      </c>
      <c r="AH10" s="420">
        <f>'04-06'!AH47</f>
        <v>0</v>
      </c>
      <c r="AI10" s="420">
        <f>'04-06'!AI47</f>
        <v>0</v>
      </c>
      <c r="AJ10" s="420">
        <f>'04-06'!AJ47</f>
        <v>0</v>
      </c>
      <c r="AK10" s="420">
        <f>'04-06'!AK47</f>
        <v>0</v>
      </c>
      <c r="AL10" s="420">
        <f>'04-06'!AL47</f>
        <v>0</v>
      </c>
      <c r="AM10" s="420">
        <f>'04-06'!AM47</f>
        <v>0</v>
      </c>
      <c r="AN10" s="420">
        <f>'04-06'!AN47</f>
        <v>0</v>
      </c>
      <c r="AO10" s="420">
        <f>'04-06'!AO47</f>
        <v>0</v>
      </c>
      <c r="AP10" s="420">
        <f>'04-06'!AP47</f>
        <v>0</v>
      </c>
      <c r="AQ10" s="420">
        <f>'04-06'!AQ47</f>
        <v>0</v>
      </c>
      <c r="AR10" s="420">
        <f>'04-06'!AR47</f>
        <v>0</v>
      </c>
      <c r="AS10" s="420">
        <f>'04-06'!AS47</f>
        <v>0</v>
      </c>
      <c r="AT10" s="420">
        <f>'04-06'!AT47</f>
        <v>0</v>
      </c>
      <c r="AU10" s="420">
        <f>'04-06'!AU47</f>
        <v>0</v>
      </c>
      <c r="AV10" s="420">
        <f>'04-06'!AV47</f>
        <v>0</v>
      </c>
      <c r="AW10" s="420">
        <f>'04-06'!AW47</f>
        <v>0</v>
      </c>
    </row>
    <row r="11" spans="1:49" s="421" customFormat="1" ht="12" customHeight="1">
      <c r="A11" s="73">
        <f t="array" ref="A11">IF(C11&lt;&gt;0,SUM(($C$11:C11&lt;&gt;0)*1),"")</f>
        <v>1</v>
      </c>
      <c r="B11" s="422">
        <v>41821</v>
      </c>
      <c r="C11" s="316" t="s">
        <v>8</v>
      </c>
      <c r="D11" s="316">
        <v>41821</v>
      </c>
      <c r="E11" s="424" t="s">
        <v>63</v>
      </c>
      <c r="F11" s="75">
        <v>100000</v>
      </c>
      <c r="G11" s="425" t="s">
        <v>348</v>
      </c>
      <c r="H11" s="425" t="s">
        <v>34</v>
      </c>
      <c r="I11" s="73">
        <f t="shared" ref="I11:I26" si="0">A11</f>
        <v>1</v>
      </c>
      <c r="J11" s="426">
        <f t="shared" ref="J11:J74" si="1">IF($G11="1111",$F11,0)</f>
        <v>0</v>
      </c>
      <c r="K11" s="426">
        <f t="shared" ref="K11:K74" si="2">IF($H11="1111",$F11,0)</f>
        <v>0</v>
      </c>
      <c r="L11" s="426">
        <f t="shared" ref="L11:L74" si="3">IF($G11="1121",$F11,0)</f>
        <v>0</v>
      </c>
      <c r="M11" s="426">
        <f t="shared" ref="M11:M74" si="4">IF($H11="1121",$F11,0)</f>
        <v>100000</v>
      </c>
      <c r="N11" s="426">
        <f t="shared" ref="N11:N74" si="5">IF($G11="1331",$F11,0)</f>
        <v>0</v>
      </c>
      <c r="O11" s="426">
        <f t="shared" ref="O11:O74" si="6">IF($H11="1331",$F11,0)</f>
        <v>0</v>
      </c>
      <c r="P11" s="426">
        <f t="shared" ref="P11:P74" si="7">IF($G11="1388",$F11,0)</f>
        <v>0</v>
      </c>
      <c r="Q11" s="426">
        <f t="shared" ref="Q11:Q74" si="8">IF($H11="1388",$F11,0)</f>
        <v>0</v>
      </c>
      <c r="R11" s="426">
        <f>IF($G11="2412",$F11,0)</f>
        <v>0</v>
      </c>
      <c r="S11" s="426">
        <f>IF($H11="2412",$F11,0)</f>
        <v>0</v>
      </c>
      <c r="T11" s="426">
        <f t="shared" ref="T11:T74" si="9">IF($G11="331",$F11,0)</f>
        <v>0</v>
      </c>
      <c r="U11" s="426">
        <f t="shared" ref="U11:U74" si="10">IF($H11="331",$F11,0)</f>
        <v>0</v>
      </c>
      <c r="V11" s="426">
        <f t="shared" ref="V11:V74" si="11">IF($G11="3334",$F11,0)</f>
        <v>0</v>
      </c>
      <c r="W11" s="426">
        <f t="shared" ref="W11:W74" si="12">IF($H11="3334",$F11,0)</f>
        <v>0</v>
      </c>
      <c r="X11" s="426">
        <f t="shared" ref="X11:X74" si="13">IF($G11="33382",$F11,0)</f>
        <v>0</v>
      </c>
      <c r="Y11" s="426">
        <f t="shared" ref="Y11:Y74" si="14">IF($H11="33382",$F11,0)</f>
        <v>0</v>
      </c>
      <c r="Z11" s="426">
        <f t="shared" ref="Z11:Z74" si="15">IF($G11="3388",$F11,0)</f>
        <v>0</v>
      </c>
      <c r="AA11" s="426">
        <f t="shared" ref="AA11:AA74" si="16">IF($H11="3388",$F11,0)</f>
        <v>0</v>
      </c>
      <c r="AB11" s="426">
        <f t="shared" ref="AB11:AB74" si="17">IF($G11="3411",$F11,0)</f>
        <v>0</v>
      </c>
      <c r="AC11" s="426">
        <f t="shared" ref="AC11:AC74" si="18">IF($H11="3411",$F11,0)</f>
        <v>0</v>
      </c>
      <c r="AD11" s="426">
        <f t="shared" ref="AD11:AD74" si="19">IF($G11="4111",$F11,0)</f>
        <v>0</v>
      </c>
      <c r="AE11" s="426">
        <f t="shared" ref="AE11:AE74" si="20">IF($H11="4111",$F11,0)</f>
        <v>0</v>
      </c>
      <c r="AF11" s="426">
        <f t="shared" ref="AF11:AF74" si="21">IF($G11="4211",$F11,0)</f>
        <v>0</v>
      </c>
      <c r="AG11" s="426">
        <f t="shared" ref="AG11:AG74" si="22">IF($H11="4211",$F11,0)</f>
        <v>0</v>
      </c>
      <c r="AH11" s="426">
        <f t="shared" ref="AH11:AH74" si="23">IF($G11="4212",$F11,0)</f>
        <v>0</v>
      </c>
      <c r="AI11" s="426">
        <f t="shared" ref="AI11:AI74" si="24">IF($H11="4212",$F11,0)</f>
        <v>0</v>
      </c>
      <c r="AJ11" s="426">
        <f t="shared" ref="AJ11:AJ74" si="25">IF($G11="515",$F11,0)</f>
        <v>0</v>
      </c>
      <c r="AK11" s="426">
        <f t="shared" ref="AK11:AK74" si="26">IF($H11="515",$F11,0)</f>
        <v>0</v>
      </c>
      <c r="AL11" s="426">
        <f t="shared" ref="AL11:AL74" si="27">IF($G11="635",$F11,0)</f>
        <v>0</v>
      </c>
      <c r="AM11" s="426">
        <f t="shared" ref="AM11:AM74" si="28">IF($H11="635",$F11,0)</f>
        <v>0</v>
      </c>
      <c r="AN11" s="426">
        <f t="shared" ref="AN11:AN74" si="29">IF($G11="642",$F11,0)</f>
        <v>0</v>
      </c>
      <c r="AO11" s="426">
        <f t="shared" ref="AO11:AO74" si="30">IF($H11="642",$F11,0)</f>
        <v>0</v>
      </c>
      <c r="AP11" s="426">
        <f t="shared" ref="AP11:AP74" si="31">IF($G11="711",$F11,0)</f>
        <v>0</v>
      </c>
      <c r="AQ11" s="426">
        <f t="shared" ref="AQ11:AQ74" si="32">IF($H11="711",$F11,0)</f>
        <v>0</v>
      </c>
      <c r="AR11" s="426">
        <f t="shared" ref="AR11:AR74" si="33">IF($G11="811",$F11,0)</f>
        <v>0</v>
      </c>
      <c r="AS11" s="426">
        <f t="shared" ref="AS11:AS74" si="34">IF($H11="811",$F11,0)</f>
        <v>0</v>
      </c>
      <c r="AT11" s="426">
        <f t="shared" ref="AT11:AT74" si="35">IF($G11="821",$F11,0)</f>
        <v>0</v>
      </c>
      <c r="AU11" s="426">
        <f t="shared" ref="AU11:AU74" si="36">IF($H11="821",$F11,0)</f>
        <v>0</v>
      </c>
      <c r="AV11" s="426">
        <f t="shared" ref="AV11:AV74" si="37">IF($G11="911",$F11,0)</f>
        <v>0</v>
      </c>
      <c r="AW11" s="426">
        <f t="shared" ref="AW11:AW74" si="38">IF($H11="911",$F11,0)</f>
        <v>0</v>
      </c>
    </row>
    <row r="12" spans="1:49" s="421" customFormat="1" ht="12" customHeight="1">
      <c r="A12" s="73">
        <f t="array" ref="A12">IF(C12&lt;&gt;0,SUM(($C$11:C12&lt;&gt;0)*1),"")</f>
        <v>2</v>
      </c>
      <c r="B12" s="422">
        <v>41821</v>
      </c>
      <c r="C12" s="316" t="s">
        <v>8</v>
      </c>
      <c r="D12" s="316">
        <v>41821</v>
      </c>
      <c r="E12" s="424" t="s">
        <v>402</v>
      </c>
      <c r="F12" s="75">
        <v>10000</v>
      </c>
      <c r="G12" s="425" t="s">
        <v>10</v>
      </c>
      <c r="H12" s="425" t="s">
        <v>34</v>
      </c>
      <c r="I12" s="73">
        <f t="shared" si="0"/>
        <v>2</v>
      </c>
      <c r="J12" s="426">
        <f t="shared" si="1"/>
        <v>0</v>
      </c>
      <c r="K12" s="426">
        <f t="shared" si="2"/>
        <v>0</v>
      </c>
      <c r="L12" s="426">
        <f t="shared" si="3"/>
        <v>0</v>
      </c>
      <c r="M12" s="426">
        <f t="shared" si="4"/>
        <v>10000</v>
      </c>
      <c r="N12" s="426">
        <f t="shared" si="5"/>
        <v>10000</v>
      </c>
      <c r="O12" s="426">
        <f t="shared" si="6"/>
        <v>0</v>
      </c>
      <c r="P12" s="426">
        <f t="shared" si="7"/>
        <v>0</v>
      </c>
      <c r="Q12" s="426">
        <f t="shared" si="8"/>
        <v>0</v>
      </c>
      <c r="R12" s="426">
        <f t="shared" ref="R12:R75" si="39">IF($G12="2412",$F12,0)</f>
        <v>0</v>
      </c>
      <c r="S12" s="426">
        <f t="shared" ref="S12:S75" si="40">IF($H12="2412",$F12,0)</f>
        <v>0</v>
      </c>
      <c r="T12" s="426">
        <f t="shared" si="9"/>
        <v>0</v>
      </c>
      <c r="U12" s="426">
        <f t="shared" si="10"/>
        <v>0</v>
      </c>
      <c r="V12" s="426">
        <f t="shared" si="11"/>
        <v>0</v>
      </c>
      <c r="W12" s="426">
        <f t="shared" si="12"/>
        <v>0</v>
      </c>
      <c r="X12" s="426">
        <f t="shared" si="13"/>
        <v>0</v>
      </c>
      <c r="Y12" s="426">
        <f t="shared" si="14"/>
        <v>0</v>
      </c>
      <c r="Z12" s="426">
        <f t="shared" si="15"/>
        <v>0</v>
      </c>
      <c r="AA12" s="426">
        <f t="shared" si="16"/>
        <v>0</v>
      </c>
      <c r="AB12" s="426">
        <f t="shared" si="17"/>
        <v>0</v>
      </c>
      <c r="AC12" s="426">
        <f t="shared" si="18"/>
        <v>0</v>
      </c>
      <c r="AD12" s="426">
        <f t="shared" si="19"/>
        <v>0</v>
      </c>
      <c r="AE12" s="426">
        <f t="shared" si="20"/>
        <v>0</v>
      </c>
      <c r="AF12" s="426">
        <f t="shared" si="21"/>
        <v>0</v>
      </c>
      <c r="AG12" s="426">
        <f t="shared" si="22"/>
        <v>0</v>
      </c>
      <c r="AH12" s="426">
        <f t="shared" si="23"/>
        <v>0</v>
      </c>
      <c r="AI12" s="426">
        <f t="shared" si="24"/>
        <v>0</v>
      </c>
      <c r="AJ12" s="426">
        <f t="shared" si="25"/>
        <v>0</v>
      </c>
      <c r="AK12" s="426">
        <f t="shared" si="26"/>
        <v>0</v>
      </c>
      <c r="AL12" s="426">
        <f t="shared" si="27"/>
        <v>0</v>
      </c>
      <c r="AM12" s="426">
        <f t="shared" si="28"/>
        <v>0</v>
      </c>
      <c r="AN12" s="426">
        <f t="shared" si="29"/>
        <v>0</v>
      </c>
      <c r="AO12" s="426">
        <f t="shared" si="30"/>
        <v>0</v>
      </c>
      <c r="AP12" s="426">
        <f t="shared" si="31"/>
        <v>0</v>
      </c>
      <c r="AQ12" s="426">
        <f t="shared" si="32"/>
        <v>0</v>
      </c>
      <c r="AR12" s="426">
        <f t="shared" si="33"/>
        <v>0</v>
      </c>
      <c r="AS12" s="426">
        <f t="shared" si="34"/>
        <v>0</v>
      </c>
      <c r="AT12" s="426">
        <f t="shared" si="35"/>
        <v>0</v>
      </c>
      <c r="AU12" s="426">
        <f t="shared" si="36"/>
        <v>0</v>
      </c>
      <c r="AV12" s="426">
        <f t="shared" si="37"/>
        <v>0</v>
      </c>
      <c r="AW12" s="426">
        <f t="shared" si="38"/>
        <v>0</v>
      </c>
    </row>
    <row r="13" spans="1:49" s="421" customFormat="1" ht="12" customHeight="1">
      <c r="A13" s="73">
        <f t="array" ref="A13">IF(C13&lt;&gt;0,SUM(($C$11:C13&lt;&gt;0)*1),"")</f>
        <v>3</v>
      </c>
      <c r="B13" s="422">
        <v>41834</v>
      </c>
      <c r="C13" s="316" t="s">
        <v>11</v>
      </c>
      <c r="D13" s="316">
        <v>41834</v>
      </c>
      <c r="E13" s="424" t="s">
        <v>403</v>
      </c>
      <c r="F13" s="75">
        <v>379000000</v>
      </c>
      <c r="G13" s="425" t="s">
        <v>34</v>
      </c>
      <c r="H13" s="425" t="s">
        <v>23</v>
      </c>
      <c r="I13" s="73">
        <f t="shared" si="0"/>
        <v>3</v>
      </c>
      <c r="J13" s="426">
        <f t="shared" si="1"/>
        <v>0</v>
      </c>
      <c r="K13" s="426">
        <f t="shared" si="2"/>
        <v>0</v>
      </c>
      <c r="L13" s="426">
        <f t="shared" si="3"/>
        <v>379000000</v>
      </c>
      <c r="M13" s="426">
        <f t="shared" si="4"/>
        <v>0</v>
      </c>
      <c r="N13" s="426">
        <f t="shared" si="5"/>
        <v>0</v>
      </c>
      <c r="O13" s="426">
        <f t="shared" si="6"/>
        <v>0</v>
      </c>
      <c r="P13" s="426">
        <f t="shared" si="7"/>
        <v>0</v>
      </c>
      <c r="Q13" s="426">
        <f t="shared" si="8"/>
        <v>0</v>
      </c>
      <c r="R13" s="426">
        <f t="shared" si="39"/>
        <v>0</v>
      </c>
      <c r="S13" s="426">
        <f t="shared" si="40"/>
        <v>0</v>
      </c>
      <c r="T13" s="426">
        <f t="shared" si="9"/>
        <v>0</v>
      </c>
      <c r="U13" s="426">
        <f t="shared" si="10"/>
        <v>0</v>
      </c>
      <c r="V13" s="426">
        <f t="shared" si="11"/>
        <v>0</v>
      </c>
      <c r="W13" s="426">
        <f t="shared" si="12"/>
        <v>0</v>
      </c>
      <c r="X13" s="426">
        <f t="shared" si="13"/>
        <v>0</v>
      </c>
      <c r="Y13" s="426">
        <f t="shared" si="14"/>
        <v>0</v>
      </c>
      <c r="Z13" s="426">
        <f t="shared" si="15"/>
        <v>0</v>
      </c>
      <c r="AA13" s="426">
        <f t="shared" si="16"/>
        <v>379000000</v>
      </c>
      <c r="AB13" s="426">
        <f t="shared" si="17"/>
        <v>0</v>
      </c>
      <c r="AC13" s="426">
        <f t="shared" si="18"/>
        <v>0</v>
      </c>
      <c r="AD13" s="426">
        <f t="shared" si="19"/>
        <v>0</v>
      </c>
      <c r="AE13" s="426">
        <f t="shared" si="20"/>
        <v>0</v>
      </c>
      <c r="AF13" s="426">
        <f t="shared" si="21"/>
        <v>0</v>
      </c>
      <c r="AG13" s="426">
        <f t="shared" si="22"/>
        <v>0</v>
      </c>
      <c r="AH13" s="426">
        <f t="shared" si="23"/>
        <v>0</v>
      </c>
      <c r="AI13" s="426">
        <f t="shared" si="24"/>
        <v>0</v>
      </c>
      <c r="AJ13" s="426">
        <f t="shared" si="25"/>
        <v>0</v>
      </c>
      <c r="AK13" s="426">
        <f t="shared" si="26"/>
        <v>0</v>
      </c>
      <c r="AL13" s="426">
        <f t="shared" si="27"/>
        <v>0</v>
      </c>
      <c r="AM13" s="426">
        <f t="shared" si="28"/>
        <v>0</v>
      </c>
      <c r="AN13" s="426">
        <f t="shared" si="29"/>
        <v>0</v>
      </c>
      <c r="AO13" s="426">
        <f t="shared" si="30"/>
        <v>0</v>
      </c>
      <c r="AP13" s="426">
        <f t="shared" si="31"/>
        <v>0</v>
      </c>
      <c r="AQ13" s="426">
        <f t="shared" si="32"/>
        <v>0</v>
      </c>
      <c r="AR13" s="426">
        <f t="shared" si="33"/>
        <v>0</v>
      </c>
      <c r="AS13" s="426">
        <f t="shared" si="34"/>
        <v>0</v>
      </c>
      <c r="AT13" s="426">
        <f t="shared" si="35"/>
        <v>0</v>
      </c>
      <c r="AU13" s="426">
        <f t="shared" si="36"/>
        <v>0</v>
      </c>
      <c r="AV13" s="426">
        <f t="shared" si="37"/>
        <v>0</v>
      </c>
      <c r="AW13" s="426">
        <f t="shared" si="38"/>
        <v>0</v>
      </c>
    </row>
    <row r="14" spans="1:49" s="421" customFormat="1" ht="12" customHeight="1">
      <c r="A14" s="73">
        <f t="array" ref="A14">IF(C14&lt;&gt;0,SUM(($C$11:C14&lt;&gt;0)*1),"")</f>
        <v>4</v>
      </c>
      <c r="B14" s="422">
        <v>41834</v>
      </c>
      <c r="C14" s="316" t="s">
        <v>8</v>
      </c>
      <c r="D14" s="316">
        <v>41834</v>
      </c>
      <c r="E14" s="424" t="s">
        <v>344</v>
      </c>
      <c r="F14" s="75">
        <v>378779940</v>
      </c>
      <c r="G14" s="425" t="s">
        <v>9</v>
      </c>
      <c r="H14" s="425" t="s">
        <v>34</v>
      </c>
      <c r="I14" s="73">
        <f t="shared" si="0"/>
        <v>4</v>
      </c>
      <c r="J14" s="426">
        <f t="shared" si="1"/>
        <v>0</v>
      </c>
      <c r="K14" s="426">
        <f t="shared" si="2"/>
        <v>0</v>
      </c>
      <c r="L14" s="426">
        <f t="shared" si="3"/>
        <v>0</v>
      </c>
      <c r="M14" s="426">
        <f t="shared" si="4"/>
        <v>378779940</v>
      </c>
      <c r="N14" s="426">
        <f t="shared" si="5"/>
        <v>0</v>
      </c>
      <c r="O14" s="426">
        <f t="shared" si="6"/>
        <v>0</v>
      </c>
      <c r="P14" s="426">
        <f t="shared" si="7"/>
        <v>0</v>
      </c>
      <c r="Q14" s="426">
        <f t="shared" si="8"/>
        <v>0</v>
      </c>
      <c r="R14" s="426">
        <f t="shared" si="39"/>
        <v>0</v>
      </c>
      <c r="S14" s="426">
        <f t="shared" si="40"/>
        <v>0</v>
      </c>
      <c r="T14" s="426">
        <f t="shared" si="9"/>
        <v>378779940</v>
      </c>
      <c r="U14" s="426">
        <f t="shared" si="10"/>
        <v>0</v>
      </c>
      <c r="V14" s="426">
        <f t="shared" si="11"/>
        <v>0</v>
      </c>
      <c r="W14" s="426">
        <f t="shared" si="12"/>
        <v>0</v>
      </c>
      <c r="X14" s="426">
        <f t="shared" si="13"/>
        <v>0</v>
      </c>
      <c r="Y14" s="426">
        <f t="shared" si="14"/>
        <v>0</v>
      </c>
      <c r="Z14" s="426">
        <f t="shared" si="15"/>
        <v>0</v>
      </c>
      <c r="AA14" s="426">
        <f t="shared" si="16"/>
        <v>0</v>
      </c>
      <c r="AB14" s="426">
        <f t="shared" si="17"/>
        <v>0</v>
      </c>
      <c r="AC14" s="426">
        <f t="shared" si="18"/>
        <v>0</v>
      </c>
      <c r="AD14" s="426">
        <f t="shared" si="19"/>
        <v>0</v>
      </c>
      <c r="AE14" s="426">
        <f t="shared" si="20"/>
        <v>0</v>
      </c>
      <c r="AF14" s="426">
        <f t="shared" si="21"/>
        <v>0</v>
      </c>
      <c r="AG14" s="426">
        <f t="shared" si="22"/>
        <v>0</v>
      </c>
      <c r="AH14" s="426">
        <f t="shared" si="23"/>
        <v>0</v>
      </c>
      <c r="AI14" s="426">
        <f t="shared" si="24"/>
        <v>0</v>
      </c>
      <c r="AJ14" s="426">
        <f t="shared" si="25"/>
        <v>0</v>
      </c>
      <c r="AK14" s="426">
        <f t="shared" si="26"/>
        <v>0</v>
      </c>
      <c r="AL14" s="426">
        <f t="shared" si="27"/>
        <v>0</v>
      </c>
      <c r="AM14" s="426">
        <f t="shared" si="28"/>
        <v>0</v>
      </c>
      <c r="AN14" s="426">
        <f t="shared" si="29"/>
        <v>0</v>
      </c>
      <c r="AO14" s="426">
        <f t="shared" si="30"/>
        <v>0</v>
      </c>
      <c r="AP14" s="426">
        <f t="shared" si="31"/>
        <v>0</v>
      </c>
      <c r="AQ14" s="426">
        <f t="shared" si="32"/>
        <v>0</v>
      </c>
      <c r="AR14" s="426">
        <f t="shared" si="33"/>
        <v>0</v>
      </c>
      <c r="AS14" s="426">
        <f t="shared" si="34"/>
        <v>0</v>
      </c>
      <c r="AT14" s="426">
        <f t="shared" si="35"/>
        <v>0</v>
      </c>
      <c r="AU14" s="426">
        <f t="shared" si="36"/>
        <v>0</v>
      </c>
      <c r="AV14" s="426">
        <f t="shared" si="37"/>
        <v>0</v>
      </c>
      <c r="AW14" s="426">
        <f t="shared" si="38"/>
        <v>0</v>
      </c>
    </row>
    <row r="15" spans="1:49" s="421" customFormat="1" ht="12" customHeight="1">
      <c r="A15" s="73">
        <f t="array" ref="A15">IF(C15&lt;&gt;0,SUM(($C$11:C15&lt;&gt;0)*1),"")</f>
        <v>5</v>
      </c>
      <c r="B15" s="422">
        <v>41834</v>
      </c>
      <c r="C15" s="316" t="s">
        <v>8</v>
      </c>
      <c r="D15" s="316">
        <v>41834</v>
      </c>
      <c r="E15" s="424" t="s">
        <v>21</v>
      </c>
      <c r="F15" s="75">
        <v>113634</v>
      </c>
      <c r="G15" s="425" t="s">
        <v>348</v>
      </c>
      <c r="H15" s="425" t="s">
        <v>34</v>
      </c>
      <c r="I15" s="73">
        <f t="shared" si="0"/>
        <v>5</v>
      </c>
      <c r="J15" s="426">
        <f t="shared" si="1"/>
        <v>0</v>
      </c>
      <c r="K15" s="426">
        <f t="shared" si="2"/>
        <v>0</v>
      </c>
      <c r="L15" s="426">
        <f t="shared" si="3"/>
        <v>0</v>
      </c>
      <c r="M15" s="426">
        <f t="shared" si="4"/>
        <v>113634</v>
      </c>
      <c r="N15" s="426">
        <f t="shared" si="5"/>
        <v>0</v>
      </c>
      <c r="O15" s="426">
        <f t="shared" si="6"/>
        <v>0</v>
      </c>
      <c r="P15" s="426">
        <f t="shared" si="7"/>
        <v>0</v>
      </c>
      <c r="Q15" s="426">
        <f t="shared" si="8"/>
        <v>0</v>
      </c>
      <c r="R15" s="426">
        <f t="shared" si="39"/>
        <v>0</v>
      </c>
      <c r="S15" s="426">
        <f t="shared" si="40"/>
        <v>0</v>
      </c>
      <c r="T15" s="426">
        <f t="shared" si="9"/>
        <v>0</v>
      </c>
      <c r="U15" s="426">
        <f t="shared" si="10"/>
        <v>0</v>
      </c>
      <c r="V15" s="426">
        <f t="shared" si="11"/>
        <v>0</v>
      </c>
      <c r="W15" s="426">
        <f t="shared" si="12"/>
        <v>0</v>
      </c>
      <c r="X15" s="426">
        <f t="shared" si="13"/>
        <v>0</v>
      </c>
      <c r="Y15" s="426">
        <f t="shared" si="14"/>
        <v>0</v>
      </c>
      <c r="Z15" s="426">
        <f t="shared" si="15"/>
        <v>0</v>
      </c>
      <c r="AA15" s="426">
        <f t="shared" si="16"/>
        <v>0</v>
      </c>
      <c r="AB15" s="426">
        <f t="shared" si="17"/>
        <v>0</v>
      </c>
      <c r="AC15" s="426">
        <f t="shared" si="18"/>
        <v>0</v>
      </c>
      <c r="AD15" s="426">
        <f t="shared" si="19"/>
        <v>0</v>
      </c>
      <c r="AE15" s="426">
        <f t="shared" si="20"/>
        <v>0</v>
      </c>
      <c r="AF15" s="426">
        <f t="shared" si="21"/>
        <v>0</v>
      </c>
      <c r="AG15" s="426">
        <f t="shared" si="22"/>
        <v>0</v>
      </c>
      <c r="AH15" s="426">
        <f t="shared" si="23"/>
        <v>0</v>
      </c>
      <c r="AI15" s="426">
        <f t="shared" si="24"/>
        <v>0</v>
      </c>
      <c r="AJ15" s="426">
        <f t="shared" si="25"/>
        <v>0</v>
      </c>
      <c r="AK15" s="426">
        <f t="shared" si="26"/>
        <v>0</v>
      </c>
      <c r="AL15" s="426">
        <f t="shared" si="27"/>
        <v>0</v>
      </c>
      <c r="AM15" s="426">
        <f t="shared" si="28"/>
        <v>0</v>
      </c>
      <c r="AN15" s="426">
        <f t="shared" si="29"/>
        <v>0</v>
      </c>
      <c r="AO15" s="426">
        <f t="shared" si="30"/>
        <v>0</v>
      </c>
      <c r="AP15" s="426">
        <f t="shared" si="31"/>
        <v>0</v>
      </c>
      <c r="AQ15" s="426">
        <f t="shared" si="32"/>
        <v>0</v>
      </c>
      <c r="AR15" s="426">
        <f t="shared" si="33"/>
        <v>0</v>
      </c>
      <c r="AS15" s="426">
        <f t="shared" si="34"/>
        <v>0</v>
      </c>
      <c r="AT15" s="426">
        <f t="shared" si="35"/>
        <v>0</v>
      </c>
      <c r="AU15" s="426">
        <f t="shared" si="36"/>
        <v>0</v>
      </c>
      <c r="AV15" s="426">
        <f t="shared" si="37"/>
        <v>0</v>
      </c>
      <c r="AW15" s="426">
        <f t="shared" si="38"/>
        <v>0</v>
      </c>
    </row>
    <row r="16" spans="1:49" s="421" customFormat="1" ht="12" customHeight="1">
      <c r="A16" s="73">
        <f t="array" ref="A16">IF(C16&lt;&gt;0,SUM(($C$11:C16&lt;&gt;0)*1),"")</f>
        <v>6</v>
      </c>
      <c r="B16" s="422">
        <v>41834</v>
      </c>
      <c r="C16" s="316" t="s">
        <v>8</v>
      </c>
      <c r="D16" s="316">
        <v>41834</v>
      </c>
      <c r="E16" s="424" t="s">
        <v>335</v>
      </c>
      <c r="F16" s="75">
        <v>11363</v>
      </c>
      <c r="G16" s="425" t="s">
        <v>10</v>
      </c>
      <c r="H16" s="425" t="s">
        <v>34</v>
      </c>
      <c r="I16" s="73">
        <f t="shared" si="0"/>
        <v>6</v>
      </c>
      <c r="J16" s="426">
        <f t="shared" si="1"/>
        <v>0</v>
      </c>
      <c r="K16" s="426">
        <f t="shared" si="2"/>
        <v>0</v>
      </c>
      <c r="L16" s="426">
        <f t="shared" si="3"/>
        <v>0</v>
      </c>
      <c r="M16" s="426">
        <f t="shared" si="4"/>
        <v>11363</v>
      </c>
      <c r="N16" s="426">
        <f t="shared" si="5"/>
        <v>11363</v>
      </c>
      <c r="O16" s="426">
        <f t="shared" si="6"/>
        <v>0</v>
      </c>
      <c r="P16" s="426">
        <f t="shared" si="7"/>
        <v>0</v>
      </c>
      <c r="Q16" s="426">
        <f t="shared" si="8"/>
        <v>0</v>
      </c>
      <c r="R16" s="426">
        <f t="shared" si="39"/>
        <v>0</v>
      </c>
      <c r="S16" s="426">
        <f t="shared" si="40"/>
        <v>0</v>
      </c>
      <c r="T16" s="426">
        <f t="shared" si="9"/>
        <v>0</v>
      </c>
      <c r="U16" s="426">
        <f t="shared" si="10"/>
        <v>0</v>
      </c>
      <c r="V16" s="426">
        <f t="shared" si="11"/>
        <v>0</v>
      </c>
      <c r="W16" s="426">
        <f t="shared" si="12"/>
        <v>0</v>
      </c>
      <c r="X16" s="426">
        <f t="shared" si="13"/>
        <v>0</v>
      </c>
      <c r="Y16" s="426">
        <f t="shared" si="14"/>
        <v>0</v>
      </c>
      <c r="Z16" s="426">
        <f t="shared" si="15"/>
        <v>0</v>
      </c>
      <c r="AA16" s="426">
        <f t="shared" si="16"/>
        <v>0</v>
      </c>
      <c r="AB16" s="426">
        <f t="shared" si="17"/>
        <v>0</v>
      </c>
      <c r="AC16" s="426">
        <f t="shared" si="18"/>
        <v>0</v>
      </c>
      <c r="AD16" s="426">
        <f t="shared" si="19"/>
        <v>0</v>
      </c>
      <c r="AE16" s="426">
        <f t="shared" si="20"/>
        <v>0</v>
      </c>
      <c r="AF16" s="426">
        <f t="shared" si="21"/>
        <v>0</v>
      </c>
      <c r="AG16" s="426">
        <f t="shared" si="22"/>
        <v>0</v>
      </c>
      <c r="AH16" s="426">
        <f t="shared" si="23"/>
        <v>0</v>
      </c>
      <c r="AI16" s="426">
        <f t="shared" si="24"/>
        <v>0</v>
      </c>
      <c r="AJ16" s="426">
        <f t="shared" si="25"/>
        <v>0</v>
      </c>
      <c r="AK16" s="426">
        <f t="shared" si="26"/>
        <v>0</v>
      </c>
      <c r="AL16" s="426">
        <f t="shared" si="27"/>
        <v>0</v>
      </c>
      <c r="AM16" s="426">
        <f t="shared" si="28"/>
        <v>0</v>
      </c>
      <c r="AN16" s="426">
        <f t="shared" si="29"/>
        <v>0</v>
      </c>
      <c r="AO16" s="426">
        <f t="shared" si="30"/>
        <v>0</v>
      </c>
      <c r="AP16" s="426">
        <f t="shared" si="31"/>
        <v>0</v>
      </c>
      <c r="AQ16" s="426">
        <f t="shared" si="32"/>
        <v>0</v>
      </c>
      <c r="AR16" s="426">
        <f t="shared" si="33"/>
        <v>0</v>
      </c>
      <c r="AS16" s="426">
        <f t="shared" si="34"/>
        <v>0</v>
      </c>
      <c r="AT16" s="426">
        <f t="shared" si="35"/>
        <v>0</v>
      </c>
      <c r="AU16" s="426">
        <f t="shared" si="36"/>
        <v>0</v>
      </c>
      <c r="AV16" s="426">
        <f t="shared" si="37"/>
        <v>0</v>
      </c>
      <c r="AW16" s="426">
        <f t="shared" si="38"/>
        <v>0</v>
      </c>
    </row>
    <row r="17" spans="1:49" s="421" customFormat="1" ht="12" customHeight="1">
      <c r="A17" s="73">
        <f t="array" ref="A17">IF(C17&lt;&gt;0,SUM(($C$11:C17&lt;&gt;0)*1),"")</f>
        <v>7</v>
      </c>
      <c r="B17" s="422">
        <v>41834</v>
      </c>
      <c r="C17" s="316" t="s">
        <v>91</v>
      </c>
      <c r="D17" s="316">
        <v>41834</v>
      </c>
      <c r="E17" s="424" t="s">
        <v>404</v>
      </c>
      <c r="F17" s="75">
        <v>379000000</v>
      </c>
      <c r="G17" s="425" t="s">
        <v>23</v>
      </c>
      <c r="H17" s="425" t="s">
        <v>120</v>
      </c>
      <c r="I17" s="73">
        <f t="shared" si="0"/>
        <v>7</v>
      </c>
      <c r="J17" s="426">
        <f t="shared" si="1"/>
        <v>0</v>
      </c>
      <c r="K17" s="426">
        <f t="shared" si="2"/>
        <v>379000000</v>
      </c>
      <c r="L17" s="426">
        <f t="shared" si="3"/>
        <v>0</v>
      </c>
      <c r="M17" s="426">
        <f t="shared" si="4"/>
        <v>0</v>
      </c>
      <c r="N17" s="426">
        <f t="shared" si="5"/>
        <v>0</v>
      </c>
      <c r="O17" s="426">
        <f t="shared" si="6"/>
        <v>0</v>
      </c>
      <c r="P17" s="426">
        <f t="shared" si="7"/>
        <v>0</v>
      </c>
      <c r="Q17" s="426">
        <f t="shared" si="8"/>
        <v>0</v>
      </c>
      <c r="R17" s="426">
        <f t="shared" si="39"/>
        <v>0</v>
      </c>
      <c r="S17" s="426">
        <f t="shared" si="40"/>
        <v>0</v>
      </c>
      <c r="T17" s="426">
        <f t="shared" si="9"/>
        <v>0</v>
      </c>
      <c r="U17" s="426">
        <f t="shared" si="10"/>
        <v>0</v>
      </c>
      <c r="V17" s="426">
        <f t="shared" si="11"/>
        <v>0</v>
      </c>
      <c r="W17" s="426">
        <f t="shared" si="12"/>
        <v>0</v>
      </c>
      <c r="X17" s="426">
        <f t="shared" si="13"/>
        <v>0</v>
      </c>
      <c r="Y17" s="426">
        <f t="shared" si="14"/>
        <v>0</v>
      </c>
      <c r="Z17" s="426">
        <f t="shared" si="15"/>
        <v>379000000</v>
      </c>
      <c r="AA17" s="426">
        <f t="shared" si="16"/>
        <v>0</v>
      </c>
      <c r="AB17" s="426">
        <f t="shared" si="17"/>
        <v>0</v>
      </c>
      <c r="AC17" s="426">
        <f t="shared" si="18"/>
        <v>0</v>
      </c>
      <c r="AD17" s="426">
        <f t="shared" si="19"/>
        <v>0</v>
      </c>
      <c r="AE17" s="426">
        <f t="shared" si="20"/>
        <v>0</v>
      </c>
      <c r="AF17" s="426">
        <f t="shared" si="21"/>
        <v>0</v>
      </c>
      <c r="AG17" s="426">
        <f t="shared" si="22"/>
        <v>0</v>
      </c>
      <c r="AH17" s="426">
        <f t="shared" si="23"/>
        <v>0</v>
      </c>
      <c r="AI17" s="426">
        <f t="shared" si="24"/>
        <v>0</v>
      </c>
      <c r="AJ17" s="426">
        <f t="shared" si="25"/>
        <v>0</v>
      </c>
      <c r="AK17" s="426">
        <f t="shared" si="26"/>
        <v>0</v>
      </c>
      <c r="AL17" s="426">
        <f t="shared" si="27"/>
        <v>0</v>
      </c>
      <c r="AM17" s="426">
        <f t="shared" si="28"/>
        <v>0</v>
      </c>
      <c r="AN17" s="426">
        <f t="shared" si="29"/>
        <v>0</v>
      </c>
      <c r="AO17" s="426">
        <f t="shared" si="30"/>
        <v>0</v>
      </c>
      <c r="AP17" s="426">
        <f t="shared" si="31"/>
        <v>0</v>
      </c>
      <c r="AQ17" s="426">
        <f t="shared" si="32"/>
        <v>0</v>
      </c>
      <c r="AR17" s="426">
        <f t="shared" si="33"/>
        <v>0</v>
      </c>
      <c r="AS17" s="426">
        <f t="shared" si="34"/>
        <v>0</v>
      </c>
      <c r="AT17" s="426">
        <f t="shared" si="35"/>
        <v>0</v>
      </c>
      <c r="AU17" s="426">
        <f t="shared" si="36"/>
        <v>0</v>
      </c>
      <c r="AV17" s="426">
        <f t="shared" si="37"/>
        <v>0</v>
      </c>
      <c r="AW17" s="426">
        <f t="shared" si="38"/>
        <v>0</v>
      </c>
    </row>
    <row r="18" spans="1:49" s="421" customFormat="1" ht="12" customHeight="1">
      <c r="A18" s="73">
        <f t="array" ref="A18">IF(C18&lt;&gt;0,SUM(($C$11:C18&lt;&gt;0)*1),"")</f>
        <v>8</v>
      </c>
      <c r="B18" s="422">
        <v>41843</v>
      </c>
      <c r="C18" s="316" t="s">
        <v>92</v>
      </c>
      <c r="D18" s="316">
        <v>41843</v>
      </c>
      <c r="E18" s="424" t="s">
        <v>342</v>
      </c>
      <c r="F18" s="75">
        <v>20000000</v>
      </c>
      <c r="G18" s="425" t="s">
        <v>34</v>
      </c>
      <c r="H18" s="425" t="s">
        <v>120</v>
      </c>
      <c r="I18" s="73">
        <f t="shared" si="0"/>
        <v>8</v>
      </c>
      <c r="J18" s="426">
        <f t="shared" si="1"/>
        <v>0</v>
      </c>
      <c r="K18" s="426">
        <f t="shared" si="2"/>
        <v>20000000</v>
      </c>
      <c r="L18" s="426">
        <f t="shared" si="3"/>
        <v>20000000</v>
      </c>
      <c r="M18" s="426">
        <f t="shared" si="4"/>
        <v>0</v>
      </c>
      <c r="N18" s="426">
        <f t="shared" si="5"/>
        <v>0</v>
      </c>
      <c r="O18" s="426">
        <f t="shared" si="6"/>
        <v>0</v>
      </c>
      <c r="P18" s="426">
        <f t="shared" si="7"/>
        <v>0</v>
      </c>
      <c r="Q18" s="426">
        <f t="shared" si="8"/>
        <v>0</v>
      </c>
      <c r="R18" s="426">
        <f t="shared" si="39"/>
        <v>0</v>
      </c>
      <c r="S18" s="426">
        <f t="shared" si="40"/>
        <v>0</v>
      </c>
      <c r="T18" s="426">
        <f t="shared" si="9"/>
        <v>0</v>
      </c>
      <c r="U18" s="426">
        <f t="shared" si="10"/>
        <v>0</v>
      </c>
      <c r="V18" s="426">
        <f t="shared" si="11"/>
        <v>0</v>
      </c>
      <c r="W18" s="426">
        <f t="shared" si="12"/>
        <v>0</v>
      </c>
      <c r="X18" s="426">
        <f t="shared" si="13"/>
        <v>0</v>
      </c>
      <c r="Y18" s="426">
        <f t="shared" si="14"/>
        <v>0</v>
      </c>
      <c r="Z18" s="426">
        <f t="shared" si="15"/>
        <v>0</v>
      </c>
      <c r="AA18" s="426">
        <f t="shared" si="16"/>
        <v>0</v>
      </c>
      <c r="AB18" s="426">
        <f t="shared" si="17"/>
        <v>0</v>
      </c>
      <c r="AC18" s="426">
        <f t="shared" si="18"/>
        <v>0</v>
      </c>
      <c r="AD18" s="426">
        <f t="shared" si="19"/>
        <v>0</v>
      </c>
      <c r="AE18" s="426">
        <f t="shared" si="20"/>
        <v>0</v>
      </c>
      <c r="AF18" s="426">
        <f t="shared" si="21"/>
        <v>0</v>
      </c>
      <c r="AG18" s="426">
        <f t="shared" si="22"/>
        <v>0</v>
      </c>
      <c r="AH18" s="426">
        <f t="shared" si="23"/>
        <v>0</v>
      </c>
      <c r="AI18" s="426">
        <f t="shared" si="24"/>
        <v>0</v>
      </c>
      <c r="AJ18" s="426">
        <f t="shared" si="25"/>
        <v>0</v>
      </c>
      <c r="AK18" s="426">
        <f t="shared" si="26"/>
        <v>0</v>
      </c>
      <c r="AL18" s="426">
        <f t="shared" si="27"/>
        <v>0</v>
      </c>
      <c r="AM18" s="426">
        <f t="shared" si="28"/>
        <v>0</v>
      </c>
      <c r="AN18" s="426">
        <f t="shared" si="29"/>
        <v>0</v>
      </c>
      <c r="AO18" s="426">
        <f t="shared" si="30"/>
        <v>0</v>
      </c>
      <c r="AP18" s="426">
        <f t="shared" si="31"/>
        <v>0</v>
      </c>
      <c r="AQ18" s="426">
        <f t="shared" si="32"/>
        <v>0</v>
      </c>
      <c r="AR18" s="426">
        <f t="shared" si="33"/>
        <v>0</v>
      </c>
      <c r="AS18" s="426">
        <f t="shared" si="34"/>
        <v>0</v>
      </c>
      <c r="AT18" s="426">
        <f t="shared" si="35"/>
        <v>0</v>
      </c>
      <c r="AU18" s="426">
        <f t="shared" si="36"/>
        <v>0</v>
      </c>
      <c r="AV18" s="426">
        <f t="shared" si="37"/>
        <v>0</v>
      </c>
      <c r="AW18" s="426">
        <f t="shared" si="38"/>
        <v>0</v>
      </c>
    </row>
    <row r="19" spans="1:49" s="421" customFormat="1" ht="12" customHeight="1">
      <c r="A19" s="73">
        <f t="array" ref="A19">IF(C19&lt;&gt;0,SUM(($C$11:C19&lt;&gt;0)*1),"")</f>
        <v>9</v>
      </c>
      <c r="B19" s="422">
        <v>41843</v>
      </c>
      <c r="C19" s="316" t="s">
        <v>8</v>
      </c>
      <c r="D19" s="316">
        <v>41843</v>
      </c>
      <c r="E19" s="424" t="s">
        <v>343</v>
      </c>
      <c r="F19" s="75">
        <v>20000000</v>
      </c>
      <c r="G19" s="425" t="s">
        <v>9</v>
      </c>
      <c r="H19" s="425" t="s">
        <v>34</v>
      </c>
      <c r="I19" s="73">
        <f t="shared" si="0"/>
        <v>9</v>
      </c>
      <c r="J19" s="426">
        <f t="shared" si="1"/>
        <v>0</v>
      </c>
      <c r="K19" s="426">
        <f t="shared" si="2"/>
        <v>0</v>
      </c>
      <c r="L19" s="426">
        <f t="shared" si="3"/>
        <v>0</v>
      </c>
      <c r="M19" s="426">
        <f t="shared" si="4"/>
        <v>20000000</v>
      </c>
      <c r="N19" s="426">
        <f t="shared" si="5"/>
        <v>0</v>
      </c>
      <c r="O19" s="426">
        <f t="shared" si="6"/>
        <v>0</v>
      </c>
      <c r="P19" s="426">
        <f t="shared" si="7"/>
        <v>0</v>
      </c>
      <c r="Q19" s="426">
        <f t="shared" si="8"/>
        <v>0</v>
      </c>
      <c r="R19" s="426">
        <f t="shared" si="39"/>
        <v>0</v>
      </c>
      <c r="S19" s="426">
        <f t="shared" si="40"/>
        <v>0</v>
      </c>
      <c r="T19" s="426">
        <f t="shared" si="9"/>
        <v>20000000</v>
      </c>
      <c r="U19" s="426">
        <f t="shared" si="10"/>
        <v>0</v>
      </c>
      <c r="V19" s="426">
        <f t="shared" si="11"/>
        <v>0</v>
      </c>
      <c r="W19" s="426">
        <f t="shared" si="12"/>
        <v>0</v>
      </c>
      <c r="X19" s="426">
        <f t="shared" si="13"/>
        <v>0</v>
      </c>
      <c r="Y19" s="426">
        <f t="shared" si="14"/>
        <v>0</v>
      </c>
      <c r="Z19" s="426">
        <f t="shared" si="15"/>
        <v>0</v>
      </c>
      <c r="AA19" s="426">
        <f t="shared" si="16"/>
        <v>0</v>
      </c>
      <c r="AB19" s="426">
        <f t="shared" si="17"/>
        <v>0</v>
      </c>
      <c r="AC19" s="426">
        <f t="shared" si="18"/>
        <v>0</v>
      </c>
      <c r="AD19" s="426">
        <f t="shared" si="19"/>
        <v>0</v>
      </c>
      <c r="AE19" s="426">
        <f t="shared" si="20"/>
        <v>0</v>
      </c>
      <c r="AF19" s="426">
        <f t="shared" si="21"/>
        <v>0</v>
      </c>
      <c r="AG19" s="426">
        <f t="shared" si="22"/>
        <v>0</v>
      </c>
      <c r="AH19" s="426">
        <f t="shared" si="23"/>
        <v>0</v>
      </c>
      <c r="AI19" s="426">
        <f t="shared" si="24"/>
        <v>0</v>
      </c>
      <c r="AJ19" s="426">
        <f t="shared" si="25"/>
        <v>0</v>
      </c>
      <c r="AK19" s="426">
        <f t="shared" si="26"/>
        <v>0</v>
      </c>
      <c r="AL19" s="426">
        <f t="shared" si="27"/>
        <v>0</v>
      </c>
      <c r="AM19" s="426">
        <f t="shared" si="28"/>
        <v>0</v>
      </c>
      <c r="AN19" s="426">
        <f t="shared" si="29"/>
        <v>0</v>
      </c>
      <c r="AO19" s="426">
        <f t="shared" si="30"/>
        <v>0</v>
      </c>
      <c r="AP19" s="426">
        <f t="shared" si="31"/>
        <v>0</v>
      </c>
      <c r="AQ19" s="426">
        <f t="shared" si="32"/>
        <v>0</v>
      </c>
      <c r="AR19" s="426">
        <f t="shared" si="33"/>
        <v>0</v>
      </c>
      <c r="AS19" s="426">
        <f t="shared" si="34"/>
        <v>0</v>
      </c>
      <c r="AT19" s="426">
        <f t="shared" si="35"/>
        <v>0</v>
      </c>
      <c r="AU19" s="426">
        <f t="shared" si="36"/>
        <v>0</v>
      </c>
      <c r="AV19" s="426">
        <f t="shared" si="37"/>
        <v>0</v>
      </c>
      <c r="AW19" s="426">
        <f t="shared" si="38"/>
        <v>0</v>
      </c>
    </row>
    <row r="20" spans="1:49" s="421" customFormat="1" ht="12" customHeight="1">
      <c r="A20" s="73">
        <f t="array" ref="A20">IF(C20&lt;&gt;0,SUM(($C$11:C20&lt;&gt;0)*1),"")</f>
        <v>10</v>
      </c>
      <c r="B20" s="422">
        <v>41843</v>
      </c>
      <c r="C20" s="316" t="s">
        <v>8</v>
      </c>
      <c r="D20" s="316">
        <v>41843</v>
      </c>
      <c r="E20" s="424" t="s">
        <v>21</v>
      </c>
      <c r="F20" s="75">
        <v>45000</v>
      </c>
      <c r="G20" s="425" t="s">
        <v>348</v>
      </c>
      <c r="H20" s="425" t="s">
        <v>34</v>
      </c>
      <c r="I20" s="73">
        <f t="shared" si="0"/>
        <v>10</v>
      </c>
      <c r="J20" s="426">
        <f t="shared" si="1"/>
        <v>0</v>
      </c>
      <c r="K20" s="426">
        <f t="shared" si="2"/>
        <v>0</v>
      </c>
      <c r="L20" s="426">
        <f t="shared" si="3"/>
        <v>0</v>
      </c>
      <c r="M20" s="426">
        <f t="shared" si="4"/>
        <v>45000</v>
      </c>
      <c r="N20" s="426">
        <f t="shared" si="5"/>
        <v>0</v>
      </c>
      <c r="O20" s="426">
        <f t="shared" si="6"/>
        <v>0</v>
      </c>
      <c r="P20" s="426">
        <f t="shared" si="7"/>
        <v>0</v>
      </c>
      <c r="Q20" s="426">
        <f t="shared" si="8"/>
        <v>0</v>
      </c>
      <c r="R20" s="426">
        <f t="shared" si="39"/>
        <v>0</v>
      </c>
      <c r="S20" s="426">
        <f t="shared" si="40"/>
        <v>0</v>
      </c>
      <c r="T20" s="426">
        <f t="shared" si="9"/>
        <v>0</v>
      </c>
      <c r="U20" s="426">
        <f t="shared" si="10"/>
        <v>0</v>
      </c>
      <c r="V20" s="426">
        <f t="shared" si="11"/>
        <v>0</v>
      </c>
      <c r="W20" s="426">
        <f t="shared" si="12"/>
        <v>0</v>
      </c>
      <c r="X20" s="426">
        <f t="shared" si="13"/>
        <v>0</v>
      </c>
      <c r="Y20" s="426">
        <f t="shared" si="14"/>
        <v>0</v>
      </c>
      <c r="Z20" s="426">
        <f t="shared" si="15"/>
        <v>0</v>
      </c>
      <c r="AA20" s="426">
        <f t="shared" si="16"/>
        <v>0</v>
      </c>
      <c r="AB20" s="426">
        <f t="shared" si="17"/>
        <v>0</v>
      </c>
      <c r="AC20" s="426">
        <f t="shared" si="18"/>
        <v>0</v>
      </c>
      <c r="AD20" s="426">
        <f t="shared" si="19"/>
        <v>0</v>
      </c>
      <c r="AE20" s="426">
        <f t="shared" si="20"/>
        <v>0</v>
      </c>
      <c r="AF20" s="426">
        <f t="shared" si="21"/>
        <v>0</v>
      </c>
      <c r="AG20" s="426">
        <f t="shared" si="22"/>
        <v>0</v>
      </c>
      <c r="AH20" s="426">
        <f t="shared" si="23"/>
        <v>0</v>
      </c>
      <c r="AI20" s="426">
        <f t="shared" si="24"/>
        <v>0</v>
      </c>
      <c r="AJ20" s="426">
        <f t="shared" si="25"/>
        <v>0</v>
      </c>
      <c r="AK20" s="426">
        <f t="shared" si="26"/>
        <v>0</v>
      </c>
      <c r="AL20" s="426">
        <f t="shared" si="27"/>
        <v>0</v>
      </c>
      <c r="AM20" s="426">
        <f t="shared" si="28"/>
        <v>0</v>
      </c>
      <c r="AN20" s="426">
        <f t="shared" si="29"/>
        <v>0</v>
      </c>
      <c r="AO20" s="426">
        <f t="shared" si="30"/>
        <v>0</v>
      </c>
      <c r="AP20" s="426">
        <f t="shared" si="31"/>
        <v>0</v>
      </c>
      <c r="AQ20" s="426">
        <f t="shared" si="32"/>
        <v>0</v>
      </c>
      <c r="AR20" s="426">
        <f t="shared" si="33"/>
        <v>0</v>
      </c>
      <c r="AS20" s="426">
        <f t="shared" si="34"/>
        <v>0</v>
      </c>
      <c r="AT20" s="426">
        <f t="shared" si="35"/>
        <v>0</v>
      </c>
      <c r="AU20" s="426">
        <f t="shared" si="36"/>
        <v>0</v>
      </c>
      <c r="AV20" s="426">
        <f t="shared" si="37"/>
        <v>0</v>
      </c>
      <c r="AW20" s="426">
        <f t="shared" si="38"/>
        <v>0</v>
      </c>
    </row>
    <row r="21" spans="1:49" s="421" customFormat="1" ht="12" customHeight="1">
      <c r="A21" s="73">
        <f t="array" ref="A21">IF(C21&lt;&gt;0,SUM(($C$11:C21&lt;&gt;0)*1),"")</f>
        <v>11</v>
      </c>
      <c r="B21" s="422">
        <v>41843</v>
      </c>
      <c r="C21" s="316" t="s">
        <v>8</v>
      </c>
      <c r="D21" s="316">
        <v>41843</v>
      </c>
      <c r="E21" s="424" t="s">
        <v>335</v>
      </c>
      <c r="F21" s="75">
        <v>4500</v>
      </c>
      <c r="G21" s="425" t="s">
        <v>10</v>
      </c>
      <c r="H21" s="425" t="s">
        <v>34</v>
      </c>
      <c r="I21" s="73">
        <f t="shared" si="0"/>
        <v>11</v>
      </c>
      <c r="J21" s="426">
        <f t="shared" si="1"/>
        <v>0</v>
      </c>
      <c r="K21" s="426">
        <f t="shared" si="2"/>
        <v>0</v>
      </c>
      <c r="L21" s="426">
        <f t="shared" si="3"/>
        <v>0</v>
      </c>
      <c r="M21" s="426">
        <f t="shared" si="4"/>
        <v>4500</v>
      </c>
      <c r="N21" s="426">
        <f t="shared" si="5"/>
        <v>4500</v>
      </c>
      <c r="O21" s="426">
        <f t="shared" si="6"/>
        <v>0</v>
      </c>
      <c r="P21" s="426">
        <f t="shared" si="7"/>
        <v>0</v>
      </c>
      <c r="Q21" s="426">
        <f t="shared" si="8"/>
        <v>0</v>
      </c>
      <c r="R21" s="426">
        <f t="shared" si="39"/>
        <v>0</v>
      </c>
      <c r="S21" s="426">
        <f t="shared" si="40"/>
        <v>0</v>
      </c>
      <c r="T21" s="426">
        <f t="shared" si="9"/>
        <v>0</v>
      </c>
      <c r="U21" s="426">
        <f t="shared" si="10"/>
        <v>0</v>
      </c>
      <c r="V21" s="426">
        <f t="shared" si="11"/>
        <v>0</v>
      </c>
      <c r="W21" s="426">
        <f t="shared" si="12"/>
        <v>0</v>
      </c>
      <c r="X21" s="426">
        <f t="shared" si="13"/>
        <v>0</v>
      </c>
      <c r="Y21" s="426">
        <f t="shared" si="14"/>
        <v>0</v>
      </c>
      <c r="Z21" s="426">
        <f t="shared" si="15"/>
        <v>0</v>
      </c>
      <c r="AA21" s="426">
        <f t="shared" si="16"/>
        <v>0</v>
      </c>
      <c r="AB21" s="426">
        <f t="shared" si="17"/>
        <v>0</v>
      </c>
      <c r="AC21" s="426">
        <f t="shared" si="18"/>
        <v>0</v>
      </c>
      <c r="AD21" s="426">
        <f t="shared" si="19"/>
        <v>0</v>
      </c>
      <c r="AE21" s="426">
        <f t="shared" si="20"/>
        <v>0</v>
      </c>
      <c r="AF21" s="426">
        <f t="shared" si="21"/>
        <v>0</v>
      </c>
      <c r="AG21" s="426">
        <f t="shared" si="22"/>
        <v>0</v>
      </c>
      <c r="AH21" s="426">
        <f t="shared" si="23"/>
        <v>0</v>
      </c>
      <c r="AI21" s="426">
        <f t="shared" si="24"/>
        <v>0</v>
      </c>
      <c r="AJ21" s="426">
        <f t="shared" si="25"/>
        <v>0</v>
      </c>
      <c r="AK21" s="426">
        <f t="shared" si="26"/>
        <v>0</v>
      </c>
      <c r="AL21" s="426">
        <f t="shared" si="27"/>
        <v>0</v>
      </c>
      <c r="AM21" s="426">
        <f t="shared" si="28"/>
        <v>0</v>
      </c>
      <c r="AN21" s="426">
        <f t="shared" si="29"/>
        <v>0</v>
      </c>
      <c r="AO21" s="426">
        <f t="shared" si="30"/>
        <v>0</v>
      </c>
      <c r="AP21" s="426">
        <f t="shared" si="31"/>
        <v>0</v>
      </c>
      <c r="AQ21" s="426">
        <f t="shared" si="32"/>
        <v>0</v>
      </c>
      <c r="AR21" s="426">
        <f t="shared" si="33"/>
        <v>0</v>
      </c>
      <c r="AS21" s="426">
        <f t="shared" si="34"/>
        <v>0</v>
      </c>
      <c r="AT21" s="426">
        <f t="shared" si="35"/>
        <v>0</v>
      </c>
      <c r="AU21" s="426">
        <f t="shared" si="36"/>
        <v>0</v>
      </c>
      <c r="AV21" s="426">
        <f t="shared" si="37"/>
        <v>0</v>
      </c>
      <c r="AW21" s="426">
        <f t="shared" si="38"/>
        <v>0</v>
      </c>
    </row>
    <row r="22" spans="1:49" s="421" customFormat="1" ht="12" customHeight="1">
      <c r="A22" s="73">
        <f t="array" ref="A22">IF(C22&lt;&gt;0,SUM(($C$11:C22&lt;&gt;0)*1),"")</f>
        <v>12</v>
      </c>
      <c r="B22" s="422">
        <v>41851</v>
      </c>
      <c r="C22" s="316" t="s">
        <v>11</v>
      </c>
      <c r="D22" s="316">
        <v>41851</v>
      </c>
      <c r="E22" s="424" t="s">
        <v>333</v>
      </c>
      <c r="F22" s="75">
        <v>50000000</v>
      </c>
      <c r="G22" s="425" t="s">
        <v>34</v>
      </c>
      <c r="H22" s="425" t="s">
        <v>23</v>
      </c>
      <c r="I22" s="73">
        <f t="shared" si="0"/>
        <v>12</v>
      </c>
      <c r="J22" s="426">
        <f t="shared" si="1"/>
        <v>0</v>
      </c>
      <c r="K22" s="426">
        <f t="shared" si="2"/>
        <v>0</v>
      </c>
      <c r="L22" s="426">
        <f t="shared" si="3"/>
        <v>50000000</v>
      </c>
      <c r="M22" s="426">
        <f t="shared" si="4"/>
        <v>0</v>
      </c>
      <c r="N22" s="426">
        <f t="shared" si="5"/>
        <v>0</v>
      </c>
      <c r="O22" s="426">
        <f t="shared" si="6"/>
        <v>0</v>
      </c>
      <c r="P22" s="426">
        <f t="shared" si="7"/>
        <v>0</v>
      </c>
      <c r="Q22" s="426">
        <f t="shared" si="8"/>
        <v>0</v>
      </c>
      <c r="R22" s="426">
        <f t="shared" si="39"/>
        <v>0</v>
      </c>
      <c r="S22" s="426">
        <f t="shared" si="40"/>
        <v>0</v>
      </c>
      <c r="T22" s="426">
        <f t="shared" si="9"/>
        <v>0</v>
      </c>
      <c r="U22" s="426">
        <f t="shared" si="10"/>
        <v>0</v>
      </c>
      <c r="V22" s="426">
        <f t="shared" si="11"/>
        <v>0</v>
      </c>
      <c r="W22" s="426">
        <f t="shared" si="12"/>
        <v>0</v>
      </c>
      <c r="X22" s="426">
        <f t="shared" si="13"/>
        <v>0</v>
      </c>
      <c r="Y22" s="426">
        <f t="shared" si="14"/>
        <v>0</v>
      </c>
      <c r="Z22" s="426">
        <f t="shared" si="15"/>
        <v>0</v>
      </c>
      <c r="AA22" s="426">
        <f t="shared" si="16"/>
        <v>50000000</v>
      </c>
      <c r="AB22" s="426">
        <f t="shared" si="17"/>
        <v>0</v>
      </c>
      <c r="AC22" s="426">
        <f t="shared" si="18"/>
        <v>0</v>
      </c>
      <c r="AD22" s="426">
        <f t="shared" si="19"/>
        <v>0</v>
      </c>
      <c r="AE22" s="426">
        <f t="shared" si="20"/>
        <v>0</v>
      </c>
      <c r="AF22" s="426">
        <f t="shared" si="21"/>
        <v>0</v>
      </c>
      <c r="AG22" s="426">
        <f t="shared" si="22"/>
        <v>0</v>
      </c>
      <c r="AH22" s="426">
        <f t="shared" si="23"/>
        <v>0</v>
      </c>
      <c r="AI22" s="426">
        <f t="shared" si="24"/>
        <v>0</v>
      </c>
      <c r="AJ22" s="426">
        <f t="shared" si="25"/>
        <v>0</v>
      </c>
      <c r="AK22" s="426">
        <f t="shared" si="26"/>
        <v>0</v>
      </c>
      <c r="AL22" s="426">
        <f t="shared" si="27"/>
        <v>0</v>
      </c>
      <c r="AM22" s="426">
        <f t="shared" si="28"/>
        <v>0</v>
      </c>
      <c r="AN22" s="426">
        <f t="shared" si="29"/>
        <v>0</v>
      </c>
      <c r="AO22" s="426">
        <f t="shared" si="30"/>
        <v>0</v>
      </c>
      <c r="AP22" s="426">
        <f t="shared" si="31"/>
        <v>0</v>
      </c>
      <c r="AQ22" s="426">
        <f t="shared" si="32"/>
        <v>0</v>
      </c>
      <c r="AR22" s="426">
        <f t="shared" si="33"/>
        <v>0</v>
      </c>
      <c r="AS22" s="426">
        <f t="shared" si="34"/>
        <v>0</v>
      </c>
      <c r="AT22" s="426">
        <f t="shared" si="35"/>
        <v>0</v>
      </c>
      <c r="AU22" s="426">
        <f t="shared" si="36"/>
        <v>0</v>
      </c>
      <c r="AV22" s="426">
        <f t="shared" si="37"/>
        <v>0</v>
      </c>
      <c r="AW22" s="426">
        <f t="shared" si="38"/>
        <v>0</v>
      </c>
    </row>
    <row r="23" spans="1:49" s="421" customFormat="1" ht="12" customHeight="1">
      <c r="A23" s="73">
        <f t="array" ref="A23">IF(C23&lt;&gt;0,SUM(($C$11:C23&lt;&gt;0)*1),"")</f>
        <v>13</v>
      </c>
      <c r="B23" s="422">
        <v>41851</v>
      </c>
      <c r="C23" s="316" t="s">
        <v>8</v>
      </c>
      <c r="D23" s="316">
        <v>41851</v>
      </c>
      <c r="E23" s="424" t="s">
        <v>343</v>
      </c>
      <c r="F23" s="75">
        <v>50000000</v>
      </c>
      <c r="G23" s="425" t="s">
        <v>9</v>
      </c>
      <c r="H23" s="425" t="s">
        <v>34</v>
      </c>
      <c r="I23" s="73">
        <f t="shared" si="0"/>
        <v>13</v>
      </c>
      <c r="J23" s="426">
        <f t="shared" si="1"/>
        <v>0</v>
      </c>
      <c r="K23" s="426">
        <f t="shared" si="2"/>
        <v>0</v>
      </c>
      <c r="L23" s="426">
        <f t="shared" si="3"/>
        <v>0</v>
      </c>
      <c r="M23" s="426">
        <f t="shared" si="4"/>
        <v>50000000</v>
      </c>
      <c r="N23" s="426">
        <f t="shared" si="5"/>
        <v>0</v>
      </c>
      <c r="O23" s="426">
        <f t="shared" si="6"/>
        <v>0</v>
      </c>
      <c r="P23" s="426">
        <f t="shared" si="7"/>
        <v>0</v>
      </c>
      <c r="Q23" s="426">
        <f t="shared" si="8"/>
        <v>0</v>
      </c>
      <c r="R23" s="426">
        <f t="shared" si="39"/>
        <v>0</v>
      </c>
      <c r="S23" s="426">
        <f t="shared" si="40"/>
        <v>0</v>
      </c>
      <c r="T23" s="426">
        <f t="shared" si="9"/>
        <v>50000000</v>
      </c>
      <c r="U23" s="426">
        <f t="shared" si="10"/>
        <v>0</v>
      </c>
      <c r="V23" s="426">
        <f t="shared" si="11"/>
        <v>0</v>
      </c>
      <c r="W23" s="426">
        <f t="shared" si="12"/>
        <v>0</v>
      </c>
      <c r="X23" s="426">
        <f t="shared" si="13"/>
        <v>0</v>
      </c>
      <c r="Y23" s="426">
        <f t="shared" si="14"/>
        <v>0</v>
      </c>
      <c r="Z23" s="426">
        <f t="shared" si="15"/>
        <v>0</v>
      </c>
      <c r="AA23" s="426">
        <f t="shared" si="16"/>
        <v>0</v>
      </c>
      <c r="AB23" s="426">
        <f t="shared" si="17"/>
        <v>0</v>
      </c>
      <c r="AC23" s="426">
        <f t="shared" si="18"/>
        <v>0</v>
      </c>
      <c r="AD23" s="426">
        <f t="shared" si="19"/>
        <v>0</v>
      </c>
      <c r="AE23" s="426">
        <f t="shared" si="20"/>
        <v>0</v>
      </c>
      <c r="AF23" s="426">
        <f t="shared" si="21"/>
        <v>0</v>
      </c>
      <c r="AG23" s="426">
        <f t="shared" si="22"/>
        <v>0</v>
      </c>
      <c r="AH23" s="426">
        <f t="shared" si="23"/>
        <v>0</v>
      </c>
      <c r="AI23" s="426">
        <f t="shared" si="24"/>
        <v>0</v>
      </c>
      <c r="AJ23" s="426">
        <f t="shared" si="25"/>
        <v>0</v>
      </c>
      <c r="AK23" s="426">
        <f t="shared" si="26"/>
        <v>0</v>
      </c>
      <c r="AL23" s="426">
        <f t="shared" si="27"/>
        <v>0</v>
      </c>
      <c r="AM23" s="426">
        <f t="shared" si="28"/>
        <v>0</v>
      </c>
      <c r="AN23" s="426">
        <f t="shared" si="29"/>
        <v>0</v>
      </c>
      <c r="AO23" s="426">
        <f t="shared" si="30"/>
        <v>0</v>
      </c>
      <c r="AP23" s="426">
        <f t="shared" si="31"/>
        <v>0</v>
      </c>
      <c r="AQ23" s="426">
        <f t="shared" si="32"/>
        <v>0</v>
      </c>
      <c r="AR23" s="426">
        <f t="shared" si="33"/>
        <v>0</v>
      </c>
      <c r="AS23" s="426">
        <f t="shared" si="34"/>
        <v>0</v>
      </c>
      <c r="AT23" s="426">
        <f t="shared" si="35"/>
        <v>0</v>
      </c>
      <c r="AU23" s="426">
        <f t="shared" si="36"/>
        <v>0</v>
      </c>
      <c r="AV23" s="426">
        <f t="shared" si="37"/>
        <v>0</v>
      </c>
      <c r="AW23" s="426">
        <f t="shared" si="38"/>
        <v>0</v>
      </c>
    </row>
    <row r="24" spans="1:49" s="421" customFormat="1" ht="12" customHeight="1">
      <c r="A24" s="73">
        <f t="array" ref="A24">IF(C24&lt;&gt;0,SUM(($C$11:C24&lt;&gt;0)*1),"")</f>
        <v>14</v>
      </c>
      <c r="B24" s="422">
        <v>41851</v>
      </c>
      <c r="C24" s="316" t="s">
        <v>8</v>
      </c>
      <c r="D24" s="316">
        <v>41851</v>
      </c>
      <c r="E24" s="424" t="s">
        <v>21</v>
      </c>
      <c r="F24" s="75">
        <v>25000</v>
      </c>
      <c r="G24" s="425" t="s">
        <v>348</v>
      </c>
      <c r="H24" s="425" t="s">
        <v>34</v>
      </c>
      <c r="I24" s="73">
        <f t="shared" si="0"/>
        <v>14</v>
      </c>
      <c r="J24" s="426">
        <f t="shared" si="1"/>
        <v>0</v>
      </c>
      <c r="K24" s="426">
        <f t="shared" si="2"/>
        <v>0</v>
      </c>
      <c r="L24" s="426">
        <f t="shared" si="3"/>
        <v>0</v>
      </c>
      <c r="M24" s="426">
        <f t="shared" si="4"/>
        <v>25000</v>
      </c>
      <c r="N24" s="426">
        <f t="shared" si="5"/>
        <v>0</v>
      </c>
      <c r="O24" s="426">
        <f t="shared" si="6"/>
        <v>0</v>
      </c>
      <c r="P24" s="426">
        <f t="shared" si="7"/>
        <v>0</v>
      </c>
      <c r="Q24" s="426">
        <f t="shared" si="8"/>
        <v>0</v>
      </c>
      <c r="R24" s="426">
        <f t="shared" si="39"/>
        <v>0</v>
      </c>
      <c r="S24" s="426">
        <f t="shared" si="40"/>
        <v>0</v>
      </c>
      <c r="T24" s="426">
        <f t="shared" si="9"/>
        <v>0</v>
      </c>
      <c r="U24" s="426">
        <f t="shared" si="10"/>
        <v>0</v>
      </c>
      <c r="V24" s="426">
        <f t="shared" si="11"/>
        <v>0</v>
      </c>
      <c r="W24" s="426">
        <f t="shared" si="12"/>
        <v>0</v>
      </c>
      <c r="X24" s="426">
        <f t="shared" si="13"/>
        <v>0</v>
      </c>
      <c r="Y24" s="426">
        <f t="shared" si="14"/>
        <v>0</v>
      </c>
      <c r="Z24" s="426">
        <f t="shared" si="15"/>
        <v>0</v>
      </c>
      <c r="AA24" s="426">
        <f t="shared" si="16"/>
        <v>0</v>
      </c>
      <c r="AB24" s="426">
        <f t="shared" si="17"/>
        <v>0</v>
      </c>
      <c r="AC24" s="426">
        <f t="shared" si="18"/>
        <v>0</v>
      </c>
      <c r="AD24" s="426">
        <f t="shared" si="19"/>
        <v>0</v>
      </c>
      <c r="AE24" s="426">
        <f t="shared" si="20"/>
        <v>0</v>
      </c>
      <c r="AF24" s="426">
        <f t="shared" si="21"/>
        <v>0</v>
      </c>
      <c r="AG24" s="426">
        <f t="shared" si="22"/>
        <v>0</v>
      </c>
      <c r="AH24" s="426">
        <f t="shared" si="23"/>
        <v>0</v>
      </c>
      <c r="AI24" s="426">
        <f t="shared" si="24"/>
        <v>0</v>
      </c>
      <c r="AJ24" s="426">
        <f t="shared" si="25"/>
        <v>0</v>
      </c>
      <c r="AK24" s="426">
        <f t="shared" si="26"/>
        <v>0</v>
      </c>
      <c r="AL24" s="426">
        <f t="shared" si="27"/>
        <v>0</v>
      </c>
      <c r="AM24" s="426">
        <f t="shared" si="28"/>
        <v>0</v>
      </c>
      <c r="AN24" s="426">
        <f t="shared" si="29"/>
        <v>0</v>
      </c>
      <c r="AO24" s="426">
        <f t="shared" si="30"/>
        <v>0</v>
      </c>
      <c r="AP24" s="426">
        <f t="shared" si="31"/>
        <v>0</v>
      </c>
      <c r="AQ24" s="426">
        <f t="shared" si="32"/>
        <v>0</v>
      </c>
      <c r="AR24" s="426">
        <f t="shared" si="33"/>
        <v>0</v>
      </c>
      <c r="AS24" s="426">
        <f t="shared" si="34"/>
        <v>0</v>
      </c>
      <c r="AT24" s="426">
        <f t="shared" si="35"/>
        <v>0</v>
      </c>
      <c r="AU24" s="426">
        <f t="shared" si="36"/>
        <v>0</v>
      </c>
      <c r="AV24" s="426">
        <f t="shared" si="37"/>
        <v>0</v>
      </c>
      <c r="AW24" s="426">
        <f t="shared" si="38"/>
        <v>0</v>
      </c>
    </row>
    <row r="25" spans="1:49" s="421" customFormat="1" ht="12" customHeight="1">
      <c r="A25" s="73">
        <f t="array" ref="A25">IF(C25&lt;&gt;0,SUM(($C$11:C25&lt;&gt;0)*1),"")</f>
        <v>15</v>
      </c>
      <c r="B25" s="422">
        <v>41851</v>
      </c>
      <c r="C25" s="316" t="s">
        <v>8</v>
      </c>
      <c r="D25" s="316">
        <v>41851</v>
      </c>
      <c r="E25" s="424" t="s">
        <v>335</v>
      </c>
      <c r="F25" s="75">
        <v>2500</v>
      </c>
      <c r="G25" s="425" t="s">
        <v>10</v>
      </c>
      <c r="H25" s="425" t="s">
        <v>34</v>
      </c>
      <c r="I25" s="73">
        <f t="shared" si="0"/>
        <v>15</v>
      </c>
      <c r="J25" s="426">
        <f t="shared" si="1"/>
        <v>0</v>
      </c>
      <c r="K25" s="426">
        <f t="shared" si="2"/>
        <v>0</v>
      </c>
      <c r="L25" s="426">
        <f t="shared" si="3"/>
        <v>0</v>
      </c>
      <c r="M25" s="426">
        <f t="shared" si="4"/>
        <v>2500</v>
      </c>
      <c r="N25" s="426">
        <f t="shared" si="5"/>
        <v>2500</v>
      </c>
      <c r="O25" s="426">
        <f t="shared" si="6"/>
        <v>0</v>
      </c>
      <c r="P25" s="426">
        <f t="shared" si="7"/>
        <v>0</v>
      </c>
      <c r="Q25" s="426">
        <f t="shared" si="8"/>
        <v>0</v>
      </c>
      <c r="R25" s="426">
        <f t="shared" si="39"/>
        <v>0</v>
      </c>
      <c r="S25" s="426">
        <f t="shared" si="40"/>
        <v>0</v>
      </c>
      <c r="T25" s="426">
        <f t="shared" si="9"/>
        <v>0</v>
      </c>
      <c r="U25" s="426">
        <f t="shared" si="10"/>
        <v>0</v>
      </c>
      <c r="V25" s="426">
        <f t="shared" si="11"/>
        <v>0</v>
      </c>
      <c r="W25" s="426">
        <f t="shared" si="12"/>
        <v>0</v>
      </c>
      <c r="X25" s="426">
        <f t="shared" si="13"/>
        <v>0</v>
      </c>
      <c r="Y25" s="426">
        <f t="shared" si="14"/>
        <v>0</v>
      </c>
      <c r="Z25" s="426">
        <f t="shared" si="15"/>
        <v>0</v>
      </c>
      <c r="AA25" s="426">
        <f t="shared" si="16"/>
        <v>0</v>
      </c>
      <c r="AB25" s="426">
        <f t="shared" si="17"/>
        <v>0</v>
      </c>
      <c r="AC25" s="426">
        <f t="shared" si="18"/>
        <v>0</v>
      </c>
      <c r="AD25" s="426">
        <f t="shared" si="19"/>
        <v>0</v>
      </c>
      <c r="AE25" s="426">
        <f t="shared" si="20"/>
        <v>0</v>
      </c>
      <c r="AF25" s="426">
        <f t="shared" si="21"/>
        <v>0</v>
      </c>
      <c r="AG25" s="426">
        <f t="shared" si="22"/>
        <v>0</v>
      </c>
      <c r="AH25" s="426">
        <f t="shared" si="23"/>
        <v>0</v>
      </c>
      <c r="AI25" s="426">
        <f t="shared" si="24"/>
        <v>0</v>
      </c>
      <c r="AJ25" s="426">
        <f t="shared" si="25"/>
        <v>0</v>
      </c>
      <c r="AK25" s="426">
        <f t="shared" si="26"/>
        <v>0</v>
      </c>
      <c r="AL25" s="426">
        <f t="shared" si="27"/>
        <v>0</v>
      </c>
      <c r="AM25" s="426">
        <f t="shared" si="28"/>
        <v>0</v>
      </c>
      <c r="AN25" s="426">
        <f t="shared" si="29"/>
        <v>0</v>
      </c>
      <c r="AO25" s="426">
        <f t="shared" si="30"/>
        <v>0</v>
      </c>
      <c r="AP25" s="426">
        <f t="shared" si="31"/>
        <v>0</v>
      </c>
      <c r="AQ25" s="426">
        <f t="shared" si="32"/>
        <v>0</v>
      </c>
      <c r="AR25" s="426">
        <f t="shared" si="33"/>
        <v>0</v>
      </c>
      <c r="AS25" s="426">
        <f t="shared" si="34"/>
        <v>0</v>
      </c>
      <c r="AT25" s="426">
        <f t="shared" si="35"/>
        <v>0</v>
      </c>
      <c r="AU25" s="426">
        <f t="shared" si="36"/>
        <v>0</v>
      </c>
      <c r="AV25" s="426">
        <f t="shared" si="37"/>
        <v>0</v>
      </c>
      <c r="AW25" s="426">
        <f t="shared" si="38"/>
        <v>0</v>
      </c>
    </row>
    <row r="26" spans="1:49" s="421" customFormat="1" ht="12" customHeight="1">
      <c r="A26" s="73">
        <f t="array" ref="A26">IF(C26&lt;&gt;0,SUM(($C$11:C26&lt;&gt;0)*1),"")</f>
        <v>16</v>
      </c>
      <c r="B26" s="422">
        <v>41851</v>
      </c>
      <c r="C26" s="316" t="s">
        <v>93</v>
      </c>
      <c r="D26" s="316">
        <v>41851</v>
      </c>
      <c r="E26" s="424" t="s">
        <v>337</v>
      </c>
      <c r="F26" s="75">
        <v>50000000</v>
      </c>
      <c r="G26" s="425" t="s">
        <v>23</v>
      </c>
      <c r="H26" s="425" t="s">
        <v>120</v>
      </c>
      <c r="I26" s="73">
        <f t="shared" si="0"/>
        <v>16</v>
      </c>
      <c r="J26" s="426">
        <f t="shared" si="1"/>
        <v>0</v>
      </c>
      <c r="K26" s="426">
        <f t="shared" si="2"/>
        <v>50000000</v>
      </c>
      <c r="L26" s="426">
        <f t="shared" si="3"/>
        <v>0</v>
      </c>
      <c r="M26" s="426">
        <f t="shared" si="4"/>
        <v>0</v>
      </c>
      <c r="N26" s="426">
        <f t="shared" si="5"/>
        <v>0</v>
      </c>
      <c r="O26" s="426">
        <f t="shared" si="6"/>
        <v>0</v>
      </c>
      <c r="P26" s="426">
        <f t="shared" si="7"/>
        <v>0</v>
      </c>
      <c r="Q26" s="426">
        <f t="shared" si="8"/>
        <v>0</v>
      </c>
      <c r="R26" s="426">
        <f t="shared" si="39"/>
        <v>0</v>
      </c>
      <c r="S26" s="426">
        <f t="shared" si="40"/>
        <v>0</v>
      </c>
      <c r="T26" s="426">
        <f t="shared" si="9"/>
        <v>0</v>
      </c>
      <c r="U26" s="426">
        <f t="shared" si="10"/>
        <v>0</v>
      </c>
      <c r="V26" s="426">
        <f t="shared" si="11"/>
        <v>0</v>
      </c>
      <c r="W26" s="426">
        <f t="shared" si="12"/>
        <v>0</v>
      </c>
      <c r="X26" s="426">
        <f t="shared" si="13"/>
        <v>0</v>
      </c>
      <c r="Y26" s="426">
        <f t="shared" si="14"/>
        <v>0</v>
      </c>
      <c r="Z26" s="426">
        <f t="shared" si="15"/>
        <v>50000000</v>
      </c>
      <c r="AA26" s="426">
        <f t="shared" si="16"/>
        <v>0</v>
      </c>
      <c r="AB26" s="426">
        <f t="shared" si="17"/>
        <v>0</v>
      </c>
      <c r="AC26" s="426">
        <f t="shared" si="18"/>
        <v>0</v>
      </c>
      <c r="AD26" s="426">
        <f t="shared" si="19"/>
        <v>0</v>
      </c>
      <c r="AE26" s="426">
        <f t="shared" si="20"/>
        <v>0</v>
      </c>
      <c r="AF26" s="426">
        <f t="shared" si="21"/>
        <v>0</v>
      </c>
      <c r="AG26" s="426">
        <f t="shared" si="22"/>
        <v>0</v>
      </c>
      <c r="AH26" s="426">
        <f t="shared" si="23"/>
        <v>0</v>
      </c>
      <c r="AI26" s="426">
        <f t="shared" si="24"/>
        <v>0</v>
      </c>
      <c r="AJ26" s="426">
        <f t="shared" si="25"/>
        <v>0</v>
      </c>
      <c r="AK26" s="426">
        <f t="shared" si="26"/>
        <v>0</v>
      </c>
      <c r="AL26" s="426">
        <f t="shared" si="27"/>
        <v>0</v>
      </c>
      <c r="AM26" s="426">
        <f t="shared" si="28"/>
        <v>0</v>
      </c>
      <c r="AN26" s="426">
        <f t="shared" si="29"/>
        <v>0</v>
      </c>
      <c r="AO26" s="426">
        <f t="shared" si="30"/>
        <v>0</v>
      </c>
      <c r="AP26" s="426">
        <f t="shared" si="31"/>
        <v>0</v>
      </c>
      <c r="AQ26" s="426">
        <f t="shared" si="32"/>
        <v>0</v>
      </c>
      <c r="AR26" s="426">
        <f t="shared" si="33"/>
        <v>0</v>
      </c>
      <c r="AS26" s="426">
        <f t="shared" si="34"/>
        <v>0</v>
      </c>
      <c r="AT26" s="426">
        <f t="shared" si="35"/>
        <v>0</v>
      </c>
      <c r="AU26" s="426">
        <f t="shared" si="36"/>
        <v>0</v>
      </c>
      <c r="AV26" s="426">
        <f t="shared" si="37"/>
        <v>0</v>
      </c>
      <c r="AW26" s="426">
        <f t="shared" si="38"/>
        <v>0</v>
      </c>
    </row>
    <row r="27" spans="1:49" s="421" customFormat="1" ht="12" customHeight="1">
      <c r="A27" s="73">
        <f t="array" ref="A27">IF(C27&lt;&gt;0,SUM(($C$11:C27&lt;&gt;0)*1),"")</f>
        <v>17</v>
      </c>
      <c r="B27" s="422">
        <v>41857</v>
      </c>
      <c r="C27" s="316" t="s">
        <v>11</v>
      </c>
      <c r="D27" s="316">
        <v>41857</v>
      </c>
      <c r="E27" s="424" t="s">
        <v>333</v>
      </c>
      <c r="F27" s="75">
        <v>50000000</v>
      </c>
      <c r="G27" s="425" t="s">
        <v>34</v>
      </c>
      <c r="H27" s="425" t="s">
        <v>23</v>
      </c>
      <c r="I27" s="73">
        <f>A27</f>
        <v>17</v>
      </c>
      <c r="J27" s="426">
        <f t="shared" si="1"/>
        <v>0</v>
      </c>
      <c r="K27" s="426">
        <f t="shared" si="2"/>
        <v>0</v>
      </c>
      <c r="L27" s="426">
        <f t="shared" si="3"/>
        <v>50000000</v>
      </c>
      <c r="M27" s="426">
        <f t="shared" si="4"/>
        <v>0</v>
      </c>
      <c r="N27" s="426">
        <f t="shared" si="5"/>
        <v>0</v>
      </c>
      <c r="O27" s="426">
        <f t="shared" si="6"/>
        <v>0</v>
      </c>
      <c r="P27" s="426">
        <f t="shared" si="7"/>
        <v>0</v>
      </c>
      <c r="Q27" s="426">
        <f t="shared" si="8"/>
        <v>0</v>
      </c>
      <c r="R27" s="426">
        <f t="shared" si="39"/>
        <v>0</v>
      </c>
      <c r="S27" s="426">
        <f t="shared" si="40"/>
        <v>0</v>
      </c>
      <c r="T27" s="426">
        <f t="shared" si="9"/>
        <v>0</v>
      </c>
      <c r="U27" s="426">
        <f t="shared" si="10"/>
        <v>0</v>
      </c>
      <c r="V27" s="426">
        <f t="shared" si="11"/>
        <v>0</v>
      </c>
      <c r="W27" s="426">
        <f t="shared" si="12"/>
        <v>0</v>
      </c>
      <c r="X27" s="426">
        <f t="shared" si="13"/>
        <v>0</v>
      </c>
      <c r="Y27" s="426">
        <f t="shared" si="14"/>
        <v>0</v>
      </c>
      <c r="Z27" s="426">
        <f t="shared" si="15"/>
        <v>0</v>
      </c>
      <c r="AA27" s="426">
        <f t="shared" si="16"/>
        <v>50000000</v>
      </c>
      <c r="AB27" s="426">
        <f t="shared" si="17"/>
        <v>0</v>
      </c>
      <c r="AC27" s="426">
        <f t="shared" si="18"/>
        <v>0</v>
      </c>
      <c r="AD27" s="426">
        <f t="shared" si="19"/>
        <v>0</v>
      </c>
      <c r="AE27" s="426">
        <f t="shared" si="20"/>
        <v>0</v>
      </c>
      <c r="AF27" s="426">
        <f t="shared" si="21"/>
        <v>0</v>
      </c>
      <c r="AG27" s="426">
        <f t="shared" si="22"/>
        <v>0</v>
      </c>
      <c r="AH27" s="426">
        <f t="shared" si="23"/>
        <v>0</v>
      </c>
      <c r="AI27" s="426">
        <f t="shared" si="24"/>
        <v>0</v>
      </c>
      <c r="AJ27" s="426">
        <f t="shared" si="25"/>
        <v>0</v>
      </c>
      <c r="AK27" s="426">
        <f t="shared" si="26"/>
        <v>0</v>
      </c>
      <c r="AL27" s="426">
        <f t="shared" si="27"/>
        <v>0</v>
      </c>
      <c r="AM27" s="426">
        <f t="shared" si="28"/>
        <v>0</v>
      </c>
      <c r="AN27" s="426">
        <f t="shared" si="29"/>
        <v>0</v>
      </c>
      <c r="AO27" s="426">
        <f t="shared" si="30"/>
        <v>0</v>
      </c>
      <c r="AP27" s="426">
        <f t="shared" si="31"/>
        <v>0</v>
      </c>
      <c r="AQ27" s="426">
        <f t="shared" si="32"/>
        <v>0</v>
      </c>
      <c r="AR27" s="426">
        <f t="shared" si="33"/>
        <v>0</v>
      </c>
      <c r="AS27" s="426">
        <f t="shared" si="34"/>
        <v>0</v>
      </c>
      <c r="AT27" s="426">
        <f t="shared" si="35"/>
        <v>0</v>
      </c>
      <c r="AU27" s="426">
        <f t="shared" si="36"/>
        <v>0</v>
      </c>
      <c r="AV27" s="426">
        <f t="shared" si="37"/>
        <v>0</v>
      </c>
      <c r="AW27" s="426">
        <f t="shared" si="38"/>
        <v>0</v>
      </c>
    </row>
    <row r="28" spans="1:49" s="421" customFormat="1" ht="12" customHeight="1">
      <c r="A28" s="73">
        <f t="array" ref="A28">IF(C28&lt;&gt;0,SUM(($C$11:C28&lt;&gt;0)*1),"")</f>
        <v>18</v>
      </c>
      <c r="B28" s="422">
        <v>41857</v>
      </c>
      <c r="C28" s="316" t="s">
        <v>8</v>
      </c>
      <c r="D28" s="316">
        <v>41857</v>
      </c>
      <c r="E28" s="424" t="s">
        <v>343</v>
      </c>
      <c r="F28" s="75">
        <v>50000000</v>
      </c>
      <c r="G28" s="425" t="s">
        <v>9</v>
      </c>
      <c r="H28" s="425" t="s">
        <v>34</v>
      </c>
      <c r="I28" s="73">
        <f t="shared" ref="I28:I79" si="41">A28</f>
        <v>18</v>
      </c>
      <c r="J28" s="426">
        <f t="shared" si="1"/>
        <v>0</v>
      </c>
      <c r="K28" s="426">
        <f t="shared" si="2"/>
        <v>0</v>
      </c>
      <c r="L28" s="426">
        <f t="shared" si="3"/>
        <v>0</v>
      </c>
      <c r="M28" s="426">
        <f t="shared" si="4"/>
        <v>50000000</v>
      </c>
      <c r="N28" s="426">
        <f t="shared" si="5"/>
        <v>0</v>
      </c>
      <c r="O28" s="426">
        <f t="shared" si="6"/>
        <v>0</v>
      </c>
      <c r="P28" s="426">
        <f t="shared" si="7"/>
        <v>0</v>
      </c>
      <c r="Q28" s="426">
        <f t="shared" si="8"/>
        <v>0</v>
      </c>
      <c r="R28" s="426">
        <f t="shared" si="39"/>
        <v>0</v>
      </c>
      <c r="S28" s="426">
        <f t="shared" si="40"/>
        <v>0</v>
      </c>
      <c r="T28" s="426">
        <f t="shared" si="9"/>
        <v>50000000</v>
      </c>
      <c r="U28" s="426">
        <f t="shared" si="10"/>
        <v>0</v>
      </c>
      <c r="V28" s="426">
        <f t="shared" si="11"/>
        <v>0</v>
      </c>
      <c r="W28" s="426">
        <f t="shared" si="12"/>
        <v>0</v>
      </c>
      <c r="X28" s="426">
        <f t="shared" si="13"/>
        <v>0</v>
      </c>
      <c r="Y28" s="426">
        <f t="shared" si="14"/>
        <v>0</v>
      </c>
      <c r="Z28" s="426">
        <f t="shared" si="15"/>
        <v>0</v>
      </c>
      <c r="AA28" s="426">
        <f t="shared" si="16"/>
        <v>0</v>
      </c>
      <c r="AB28" s="426">
        <f t="shared" si="17"/>
        <v>0</v>
      </c>
      <c r="AC28" s="426">
        <f t="shared" si="18"/>
        <v>0</v>
      </c>
      <c r="AD28" s="426">
        <f t="shared" si="19"/>
        <v>0</v>
      </c>
      <c r="AE28" s="426">
        <f t="shared" si="20"/>
        <v>0</v>
      </c>
      <c r="AF28" s="426">
        <f t="shared" si="21"/>
        <v>0</v>
      </c>
      <c r="AG28" s="426">
        <f t="shared" si="22"/>
        <v>0</v>
      </c>
      <c r="AH28" s="426">
        <f t="shared" si="23"/>
        <v>0</v>
      </c>
      <c r="AI28" s="426">
        <f t="shared" si="24"/>
        <v>0</v>
      </c>
      <c r="AJ28" s="426">
        <f t="shared" si="25"/>
        <v>0</v>
      </c>
      <c r="AK28" s="426">
        <f t="shared" si="26"/>
        <v>0</v>
      </c>
      <c r="AL28" s="426">
        <f t="shared" si="27"/>
        <v>0</v>
      </c>
      <c r="AM28" s="426">
        <f t="shared" si="28"/>
        <v>0</v>
      </c>
      <c r="AN28" s="426">
        <f t="shared" si="29"/>
        <v>0</v>
      </c>
      <c r="AO28" s="426">
        <f t="shared" si="30"/>
        <v>0</v>
      </c>
      <c r="AP28" s="426">
        <f t="shared" si="31"/>
        <v>0</v>
      </c>
      <c r="AQ28" s="426">
        <f t="shared" si="32"/>
        <v>0</v>
      </c>
      <c r="AR28" s="426">
        <f t="shared" si="33"/>
        <v>0</v>
      </c>
      <c r="AS28" s="426">
        <f t="shared" si="34"/>
        <v>0</v>
      </c>
      <c r="AT28" s="426">
        <f t="shared" si="35"/>
        <v>0</v>
      </c>
      <c r="AU28" s="426">
        <f t="shared" si="36"/>
        <v>0</v>
      </c>
      <c r="AV28" s="426">
        <f t="shared" si="37"/>
        <v>0</v>
      </c>
      <c r="AW28" s="426">
        <f t="shared" si="38"/>
        <v>0</v>
      </c>
    </row>
    <row r="29" spans="1:49" s="421" customFormat="1" ht="12" customHeight="1">
      <c r="A29" s="73">
        <f t="array" ref="A29">IF(C29&lt;&gt;0,SUM(($C$11:C29&lt;&gt;0)*1),"")</f>
        <v>19</v>
      </c>
      <c r="B29" s="422">
        <v>41857</v>
      </c>
      <c r="C29" s="316" t="s">
        <v>8</v>
      </c>
      <c r="D29" s="316">
        <v>41857</v>
      </c>
      <c r="E29" s="424" t="s">
        <v>21</v>
      </c>
      <c r="F29" s="75">
        <v>25000</v>
      </c>
      <c r="G29" s="425" t="s">
        <v>348</v>
      </c>
      <c r="H29" s="425" t="s">
        <v>34</v>
      </c>
      <c r="I29" s="73">
        <f t="shared" si="41"/>
        <v>19</v>
      </c>
      <c r="J29" s="426">
        <f t="shared" si="1"/>
        <v>0</v>
      </c>
      <c r="K29" s="426">
        <f t="shared" si="2"/>
        <v>0</v>
      </c>
      <c r="L29" s="426">
        <f t="shared" si="3"/>
        <v>0</v>
      </c>
      <c r="M29" s="426">
        <f t="shared" si="4"/>
        <v>25000</v>
      </c>
      <c r="N29" s="426">
        <f t="shared" si="5"/>
        <v>0</v>
      </c>
      <c r="O29" s="426">
        <f t="shared" si="6"/>
        <v>0</v>
      </c>
      <c r="P29" s="426">
        <f t="shared" si="7"/>
        <v>0</v>
      </c>
      <c r="Q29" s="426">
        <f t="shared" si="8"/>
        <v>0</v>
      </c>
      <c r="R29" s="426">
        <f t="shared" si="39"/>
        <v>0</v>
      </c>
      <c r="S29" s="426">
        <f t="shared" si="40"/>
        <v>0</v>
      </c>
      <c r="T29" s="426">
        <f t="shared" si="9"/>
        <v>0</v>
      </c>
      <c r="U29" s="426">
        <f t="shared" si="10"/>
        <v>0</v>
      </c>
      <c r="V29" s="426">
        <f t="shared" si="11"/>
        <v>0</v>
      </c>
      <c r="W29" s="426">
        <f t="shared" si="12"/>
        <v>0</v>
      </c>
      <c r="X29" s="426">
        <f t="shared" si="13"/>
        <v>0</v>
      </c>
      <c r="Y29" s="426">
        <f t="shared" si="14"/>
        <v>0</v>
      </c>
      <c r="Z29" s="426">
        <f t="shared" si="15"/>
        <v>0</v>
      </c>
      <c r="AA29" s="426">
        <f t="shared" si="16"/>
        <v>0</v>
      </c>
      <c r="AB29" s="426">
        <f t="shared" si="17"/>
        <v>0</v>
      </c>
      <c r="AC29" s="426">
        <f t="shared" si="18"/>
        <v>0</v>
      </c>
      <c r="AD29" s="426">
        <f t="shared" si="19"/>
        <v>0</v>
      </c>
      <c r="AE29" s="426">
        <f t="shared" si="20"/>
        <v>0</v>
      </c>
      <c r="AF29" s="426">
        <f t="shared" si="21"/>
        <v>0</v>
      </c>
      <c r="AG29" s="426">
        <f t="shared" si="22"/>
        <v>0</v>
      </c>
      <c r="AH29" s="426">
        <f t="shared" si="23"/>
        <v>0</v>
      </c>
      <c r="AI29" s="426">
        <f t="shared" si="24"/>
        <v>0</v>
      </c>
      <c r="AJ29" s="426">
        <f t="shared" si="25"/>
        <v>0</v>
      </c>
      <c r="AK29" s="426">
        <f t="shared" si="26"/>
        <v>0</v>
      </c>
      <c r="AL29" s="426">
        <f t="shared" si="27"/>
        <v>0</v>
      </c>
      <c r="AM29" s="426">
        <f t="shared" si="28"/>
        <v>0</v>
      </c>
      <c r="AN29" s="426">
        <f t="shared" si="29"/>
        <v>0</v>
      </c>
      <c r="AO29" s="426">
        <f t="shared" si="30"/>
        <v>0</v>
      </c>
      <c r="AP29" s="426">
        <f t="shared" si="31"/>
        <v>0</v>
      </c>
      <c r="AQ29" s="426">
        <f t="shared" si="32"/>
        <v>0</v>
      </c>
      <c r="AR29" s="426">
        <f t="shared" si="33"/>
        <v>0</v>
      </c>
      <c r="AS29" s="426">
        <f t="shared" si="34"/>
        <v>0</v>
      </c>
      <c r="AT29" s="426">
        <f t="shared" si="35"/>
        <v>0</v>
      </c>
      <c r="AU29" s="426">
        <f t="shared" si="36"/>
        <v>0</v>
      </c>
      <c r="AV29" s="426">
        <f t="shared" si="37"/>
        <v>0</v>
      </c>
      <c r="AW29" s="426">
        <f t="shared" si="38"/>
        <v>0</v>
      </c>
    </row>
    <row r="30" spans="1:49" s="421" customFormat="1" ht="12" customHeight="1">
      <c r="A30" s="73">
        <f t="array" ref="A30">IF(C30&lt;&gt;0,SUM(($C$11:C30&lt;&gt;0)*1),"")</f>
        <v>20</v>
      </c>
      <c r="B30" s="422">
        <v>41857</v>
      </c>
      <c r="C30" s="316" t="s">
        <v>8</v>
      </c>
      <c r="D30" s="316">
        <v>41857</v>
      </c>
      <c r="E30" s="424" t="s">
        <v>335</v>
      </c>
      <c r="F30" s="75">
        <v>2500</v>
      </c>
      <c r="G30" s="425" t="s">
        <v>10</v>
      </c>
      <c r="H30" s="425" t="s">
        <v>34</v>
      </c>
      <c r="I30" s="73">
        <f t="shared" si="41"/>
        <v>20</v>
      </c>
      <c r="J30" s="426">
        <f t="shared" si="1"/>
        <v>0</v>
      </c>
      <c r="K30" s="426">
        <f t="shared" si="2"/>
        <v>0</v>
      </c>
      <c r="L30" s="426">
        <f t="shared" si="3"/>
        <v>0</v>
      </c>
      <c r="M30" s="426">
        <f t="shared" si="4"/>
        <v>2500</v>
      </c>
      <c r="N30" s="426">
        <f t="shared" si="5"/>
        <v>2500</v>
      </c>
      <c r="O30" s="426">
        <f t="shared" si="6"/>
        <v>0</v>
      </c>
      <c r="P30" s="426">
        <f t="shared" si="7"/>
        <v>0</v>
      </c>
      <c r="Q30" s="426">
        <f t="shared" si="8"/>
        <v>0</v>
      </c>
      <c r="R30" s="426">
        <f t="shared" si="39"/>
        <v>0</v>
      </c>
      <c r="S30" s="426">
        <f t="shared" si="40"/>
        <v>0</v>
      </c>
      <c r="T30" s="426">
        <f t="shared" si="9"/>
        <v>0</v>
      </c>
      <c r="U30" s="426">
        <f t="shared" si="10"/>
        <v>0</v>
      </c>
      <c r="V30" s="426">
        <f t="shared" si="11"/>
        <v>0</v>
      </c>
      <c r="W30" s="426">
        <f t="shared" si="12"/>
        <v>0</v>
      </c>
      <c r="X30" s="426">
        <f t="shared" si="13"/>
        <v>0</v>
      </c>
      <c r="Y30" s="426">
        <f t="shared" si="14"/>
        <v>0</v>
      </c>
      <c r="Z30" s="426">
        <f t="shared" si="15"/>
        <v>0</v>
      </c>
      <c r="AA30" s="426">
        <f t="shared" si="16"/>
        <v>0</v>
      </c>
      <c r="AB30" s="426">
        <f t="shared" si="17"/>
        <v>0</v>
      </c>
      <c r="AC30" s="426">
        <f t="shared" si="18"/>
        <v>0</v>
      </c>
      <c r="AD30" s="426">
        <f t="shared" si="19"/>
        <v>0</v>
      </c>
      <c r="AE30" s="426">
        <f t="shared" si="20"/>
        <v>0</v>
      </c>
      <c r="AF30" s="426">
        <f t="shared" si="21"/>
        <v>0</v>
      </c>
      <c r="AG30" s="426">
        <f t="shared" si="22"/>
        <v>0</v>
      </c>
      <c r="AH30" s="426">
        <f t="shared" si="23"/>
        <v>0</v>
      </c>
      <c r="AI30" s="426">
        <f t="shared" si="24"/>
        <v>0</v>
      </c>
      <c r="AJ30" s="426">
        <f t="shared" si="25"/>
        <v>0</v>
      </c>
      <c r="AK30" s="426">
        <f t="shared" si="26"/>
        <v>0</v>
      </c>
      <c r="AL30" s="426">
        <f t="shared" si="27"/>
        <v>0</v>
      </c>
      <c r="AM30" s="426">
        <f t="shared" si="28"/>
        <v>0</v>
      </c>
      <c r="AN30" s="426">
        <f t="shared" si="29"/>
        <v>0</v>
      </c>
      <c r="AO30" s="426">
        <f t="shared" si="30"/>
        <v>0</v>
      </c>
      <c r="AP30" s="426">
        <f t="shared" si="31"/>
        <v>0</v>
      </c>
      <c r="AQ30" s="426">
        <f t="shared" si="32"/>
        <v>0</v>
      </c>
      <c r="AR30" s="426">
        <f t="shared" si="33"/>
        <v>0</v>
      </c>
      <c r="AS30" s="426">
        <f t="shared" si="34"/>
        <v>0</v>
      </c>
      <c r="AT30" s="426">
        <f t="shared" si="35"/>
        <v>0</v>
      </c>
      <c r="AU30" s="426">
        <f t="shared" si="36"/>
        <v>0</v>
      </c>
      <c r="AV30" s="426">
        <f t="shared" si="37"/>
        <v>0</v>
      </c>
      <c r="AW30" s="426">
        <f t="shared" si="38"/>
        <v>0</v>
      </c>
    </row>
    <row r="31" spans="1:49" s="421" customFormat="1" ht="12" customHeight="1">
      <c r="A31" s="73">
        <f t="array" ref="A31">IF(C31&lt;&gt;0,SUM(($C$11:C31&lt;&gt;0)*1),"")</f>
        <v>21</v>
      </c>
      <c r="B31" s="422">
        <v>41857</v>
      </c>
      <c r="C31" s="316" t="s">
        <v>94</v>
      </c>
      <c r="D31" s="316">
        <v>41857</v>
      </c>
      <c r="E31" s="423" t="s">
        <v>337</v>
      </c>
      <c r="F31" s="75">
        <v>50000000</v>
      </c>
      <c r="G31" s="425" t="s">
        <v>23</v>
      </c>
      <c r="H31" s="425" t="s">
        <v>120</v>
      </c>
      <c r="I31" s="73">
        <f t="shared" si="41"/>
        <v>21</v>
      </c>
      <c r="J31" s="426">
        <f t="shared" si="1"/>
        <v>0</v>
      </c>
      <c r="K31" s="426">
        <f t="shared" si="2"/>
        <v>50000000</v>
      </c>
      <c r="L31" s="426">
        <f t="shared" si="3"/>
        <v>0</v>
      </c>
      <c r="M31" s="426">
        <f t="shared" si="4"/>
        <v>0</v>
      </c>
      <c r="N31" s="426">
        <f t="shared" si="5"/>
        <v>0</v>
      </c>
      <c r="O31" s="426">
        <f t="shared" si="6"/>
        <v>0</v>
      </c>
      <c r="P31" s="426">
        <f t="shared" si="7"/>
        <v>0</v>
      </c>
      <c r="Q31" s="426">
        <f t="shared" si="8"/>
        <v>0</v>
      </c>
      <c r="R31" s="426">
        <f t="shared" si="39"/>
        <v>0</v>
      </c>
      <c r="S31" s="426">
        <f t="shared" si="40"/>
        <v>0</v>
      </c>
      <c r="T31" s="426">
        <f t="shared" si="9"/>
        <v>0</v>
      </c>
      <c r="U31" s="426">
        <f t="shared" si="10"/>
        <v>0</v>
      </c>
      <c r="V31" s="426">
        <f t="shared" si="11"/>
        <v>0</v>
      </c>
      <c r="W31" s="426">
        <f t="shared" si="12"/>
        <v>0</v>
      </c>
      <c r="X31" s="426">
        <f t="shared" si="13"/>
        <v>0</v>
      </c>
      <c r="Y31" s="426">
        <f t="shared" si="14"/>
        <v>0</v>
      </c>
      <c r="Z31" s="426">
        <f t="shared" si="15"/>
        <v>50000000</v>
      </c>
      <c r="AA31" s="426">
        <f t="shared" si="16"/>
        <v>0</v>
      </c>
      <c r="AB31" s="426">
        <f t="shared" si="17"/>
        <v>0</v>
      </c>
      <c r="AC31" s="426">
        <f t="shared" si="18"/>
        <v>0</v>
      </c>
      <c r="AD31" s="426">
        <f t="shared" si="19"/>
        <v>0</v>
      </c>
      <c r="AE31" s="426">
        <f t="shared" si="20"/>
        <v>0</v>
      </c>
      <c r="AF31" s="426">
        <f t="shared" si="21"/>
        <v>0</v>
      </c>
      <c r="AG31" s="426">
        <f t="shared" si="22"/>
        <v>0</v>
      </c>
      <c r="AH31" s="426">
        <f t="shared" si="23"/>
        <v>0</v>
      </c>
      <c r="AI31" s="426">
        <f t="shared" si="24"/>
        <v>0</v>
      </c>
      <c r="AJ31" s="426">
        <f t="shared" si="25"/>
        <v>0</v>
      </c>
      <c r="AK31" s="426">
        <f t="shared" si="26"/>
        <v>0</v>
      </c>
      <c r="AL31" s="426">
        <f t="shared" si="27"/>
        <v>0</v>
      </c>
      <c r="AM31" s="426">
        <f t="shared" si="28"/>
        <v>0</v>
      </c>
      <c r="AN31" s="426">
        <f t="shared" si="29"/>
        <v>0</v>
      </c>
      <c r="AO31" s="426">
        <f t="shared" si="30"/>
        <v>0</v>
      </c>
      <c r="AP31" s="426">
        <f t="shared" si="31"/>
        <v>0</v>
      </c>
      <c r="AQ31" s="426">
        <f t="shared" si="32"/>
        <v>0</v>
      </c>
      <c r="AR31" s="426">
        <f t="shared" si="33"/>
        <v>0</v>
      </c>
      <c r="AS31" s="426">
        <f t="shared" si="34"/>
        <v>0</v>
      </c>
      <c r="AT31" s="426">
        <f t="shared" si="35"/>
        <v>0</v>
      </c>
      <c r="AU31" s="426">
        <f t="shared" si="36"/>
        <v>0</v>
      </c>
      <c r="AV31" s="426">
        <f t="shared" si="37"/>
        <v>0</v>
      </c>
      <c r="AW31" s="426">
        <f t="shared" si="38"/>
        <v>0</v>
      </c>
    </row>
    <row r="32" spans="1:49" s="421" customFormat="1" ht="12" customHeight="1">
      <c r="A32" s="73">
        <f t="array" ref="A32">IF(C32&lt;&gt;0,SUM(($C$11:C32&lt;&gt;0)*1),"")</f>
        <v>22</v>
      </c>
      <c r="B32" s="422">
        <v>41865</v>
      </c>
      <c r="C32" s="316" t="s">
        <v>95</v>
      </c>
      <c r="D32" s="316">
        <v>41865</v>
      </c>
      <c r="E32" s="424" t="s">
        <v>342</v>
      </c>
      <c r="F32" s="245">
        <v>253000000</v>
      </c>
      <c r="G32" s="425" t="s">
        <v>34</v>
      </c>
      <c r="H32" s="425" t="s">
        <v>120</v>
      </c>
      <c r="I32" s="73">
        <f t="shared" si="41"/>
        <v>22</v>
      </c>
      <c r="J32" s="426">
        <f t="shared" si="1"/>
        <v>0</v>
      </c>
      <c r="K32" s="426">
        <f t="shared" si="2"/>
        <v>253000000</v>
      </c>
      <c r="L32" s="426">
        <f t="shared" si="3"/>
        <v>253000000</v>
      </c>
      <c r="M32" s="426">
        <f t="shared" si="4"/>
        <v>0</v>
      </c>
      <c r="N32" s="426">
        <f t="shared" si="5"/>
        <v>0</v>
      </c>
      <c r="O32" s="426">
        <f t="shared" si="6"/>
        <v>0</v>
      </c>
      <c r="P32" s="426">
        <f t="shared" si="7"/>
        <v>0</v>
      </c>
      <c r="Q32" s="426">
        <f t="shared" si="8"/>
        <v>0</v>
      </c>
      <c r="R32" s="426">
        <f t="shared" si="39"/>
        <v>0</v>
      </c>
      <c r="S32" s="426">
        <f t="shared" si="40"/>
        <v>0</v>
      </c>
      <c r="T32" s="426">
        <f t="shared" si="9"/>
        <v>0</v>
      </c>
      <c r="U32" s="426">
        <f t="shared" si="10"/>
        <v>0</v>
      </c>
      <c r="V32" s="426">
        <f t="shared" si="11"/>
        <v>0</v>
      </c>
      <c r="W32" s="426">
        <f t="shared" si="12"/>
        <v>0</v>
      </c>
      <c r="X32" s="426">
        <f t="shared" si="13"/>
        <v>0</v>
      </c>
      <c r="Y32" s="426">
        <f t="shared" si="14"/>
        <v>0</v>
      </c>
      <c r="Z32" s="426">
        <f t="shared" si="15"/>
        <v>0</v>
      </c>
      <c r="AA32" s="426">
        <f t="shared" si="16"/>
        <v>0</v>
      </c>
      <c r="AB32" s="426">
        <f t="shared" si="17"/>
        <v>0</v>
      </c>
      <c r="AC32" s="426">
        <f t="shared" si="18"/>
        <v>0</v>
      </c>
      <c r="AD32" s="426">
        <f t="shared" si="19"/>
        <v>0</v>
      </c>
      <c r="AE32" s="426">
        <f t="shared" si="20"/>
        <v>0</v>
      </c>
      <c r="AF32" s="426">
        <f t="shared" si="21"/>
        <v>0</v>
      </c>
      <c r="AG32" s="426">
        <f t="shared" si="22"/>
        <v>0</v>
      </c>
      <c r="AH32" s="426">
        <f t="shared" si="23"/>
        <v>0</v>
      </c>
      <c r="AI32" s="426">
        <f t="shared" si="24"/>
        <v>0</v>
      </c>
      <c r="AJ32" s="426">
        <f t="shared" si="25"/>
        <v>0</v>
      </c>
      <c r="AK32" s="426">
        <f t="shared" si="26"/>
        <v>0</v>
      </c>
      <c r="AL32" s="426">
        <f t="shared" si="27"/>
        <v>0</v>
      </c>
      <c r="AM32" s="426">
        <f t="shared" si="28"/>
        <v>0</v>
      </c>
      <c r="AN32" s="426">
        <f t="shared" si="29"/>
        <v>0</v>
      </c>
      <c r="AO32" s="426">
        <f t="shared" si="30"/>
        <v>0</v>
      </c>
      <c r="AP32" s="426">
        <f t="shared" si="31"/>
        <v>0</v>
      </c>
      <c r="AQ32" s="426">
        <f t="shared" si="32"/>
        <v>0</v>
      </c>
      <c r="AR32" s="426">
        <f t="shared" si="33"/>
        <v>0</v>
      </c>
      <c r="AS32" s="426">
        <f t="shared" si="34"/>
        <v>0</v>
      </c>
      <c r="AT32" s="426">
        <f t="shared" si="35"/>
        <v>0</v>
      </c>
      <c r="AU32" s="426">
        <f t="shared" si="36"/>
        <v>0</v>
      </c>
      <c r="AV32" s="426">
        <f t="shared" si="37"/>
        <v>0</v>
      </c>
      <c r="AW32" s="426">
        <f t="shared" si="38"/>
        <v>0</v>
      </c>
    </row>
    <row r="33" spans="1:49" s="421" customFormat="1" ht="12" customHeight="1">
      <c r="A33" s="73">
        <f t="array" ref="A33">IF(C33&lt;&gt;0,SUM(($C$11:C33&lt;&gt;0)*1),"")</f>
        <v>23</v>
      </c>
      <c r="B33" s="422">
        <v>41865</v>
      </c>
      <c r="C33" s="316" t="s">
        <v>8</v>
      </c>
      <c r="D33" s="316">
        <v>41865</v>
      </c>
      <c r="E33" s="424" t="s">
        <v>344</v>
      </c>
      <c r="F33" s="245">
        <v>252519960</v>
      </c>
      <c r="G33" s="425" t="s">
        <v>9</v>
      </c>
      <c r="H33" s="425" t="s">
        <v>34</v>
      </c>
      <c r="I33" s="73">
        <f t="shared" si="41"/>
        <v>23</v>
      </c>
      <c r="J33" s="426">
        <f t="shared" si="1"/>
        <v>0</v>
      </c>
      <c r="K33" s="426">
        <f t="shared" si="2"/>
        <v>0</v>
      </c>
      <c r="L33" s="426">
        <f t="shared" si="3"/>
        <v>0</v>
      </c>
      <c r="M33" s="426">
        <f t="shared" si="4"/>
        <v>252519960</v>
      </c>
      <c r="N33" s="426">
        <f t="shared" si="5"/>
        <v>0</v>
      </c>
      <c r="O33" s="426">
        <f t="shared" si="6"/>
        <v>0</v>
      </c>
      <c r="P33" s="426">
        <f t="shared" si="7"/>
        <v>0</v>
      </c>
      <c r="Q33" s="426">
        <f t="shared" si="8"/>
        <v>0</v>
      </c>
      <c r="R33" s="426">
        <f t="shared" si="39"/>
        <v>0</v>
      </c>
      <c r="S33" s="426">
        <f t="shared" si="40"/>
        <v>0</v>
      </c>
      <c r="T33" s="426">
        <f t="shared" si="9"/>
        <v>252519960</v>
      </c>
      <c r="U33" s="426">
        <f t="shared" si="10"/>
        <v>0</v>
      </c>
      <c r="V33" s="426">
        <f t="shared" si="11"/>
        <v>0</v>
      </c>
      <c r="W33" s="426">
        <f t="shared" si="12"/>
        <v>0</v>
      </c>
      <c r="X33" s="426">
        <f t="shared" si="13"/>
        <v>0</v>
      </c>
      <c r="Y33" s="426">
        <f t="shared" si="14"/>
        <v>0</v>
      </c>
      <c r="Z33" s="426">
        <f t="shared" si="15"/>
        <v>0</v>
      </c>
      <c r="AA33" s="426">
        <f t="shared" si="16"/>
        <v>0</v>
      </c>
      <c r="AB33" s="426">
        <f t="shared" si="17"/>
        <v>0</v>
      </c>
      <c r="AC33" s="426">
        <f t="shared" si="18"/>
        <v>0</v>
      </c>
      <c r="AD33" s="426">
        <f t="shared" si="19"/>
        <v>0</v>
      </c>
      <c r="AE33" s="426">
        <f t="shared" si="20"/>
        <v>0</v>
      </c>
      <c r="AF33" s="426">
        <f t="shared" si="21"/>
        <v>0</v>
      </c>
      <c r="AG33" s="426">
        <f t="shared" si="22"/>
        <v>0</v>
      </c>
      <c r="AH33" s="426">
        <f t="shared" si="23"/>
        <v>0</v>
      </c>
      <c r="AI33" s="426">
        <f t="shared" si="24"/>
        <v>0</v>
      </c>
      <c r="AJ33" s="426">
        <f t="shared" si="25"/>
        <v>0</v>
      </c>
      <c r="AK33" s="426">
        <f t="shared" si="26"/>
        <v>0</v>
      </c>
      <c r="AL33" s="426">
        <f t="shared" si="27"/>
        <v>0</v>
      </c>
      <c r="AM33" s="426">
        <f t="shared" si="28"/>
        <v>0</v>
      </c>
      <c r="AN33" s="426">
        <f t="shared" si="29"/>
        <v>0</v>
      </c>
      <c r="AO33" s="426">
        <f t="shared" si="30"/>
        <v>0</v>
      </c>
      <c r="AP33" s="426">
        <f t="shared" si="31"/>
        <v>0</v>
      </c>
      <c r="AQ33" s="426">
        <f t="shared" si="32"/>
        <v>0</v>
      </c>
      <c r="AR33" s="426">
        <f t="shared" si="33"/>
        <v>0</v>
      </c>
      <c r="AS33" s="426">
        <f t="shared" si="34"/>
        <v>0</v>
      </c>
      <c r="AT33" s="426">
        <f t="shared" si="35"/>
        <v>0</v>
      </c>
      <c r="AU33" s="426">
        <f t="shared" si="36"/>
        <v>0</v>
      </c>
      <c r="AV33" s="426">
        <f t="shared" si="37"/>
        <v>0</v>
      </c>
      <c r="AW33" s="426">
        <f t="shared" si="38"/>
        <v>0</v>
      </c>
    </row>
    <row r="34" spans="1:49" s="421" customFormat="1" ht="12" customHeight="1">
      <c r="A34" s="73">
        <f t="array" ref="A34">IF(C34&lt;&gt;0,SUM(($C$11:C34&lt;&gt;0)*1),"")</f>
        <v>24</v>
      </c>
      <c r="B34" s="422">
        <v>41865</v>
      </c>
      <c r="C34" s="316" t="s">
        <v>8</v>
      </c>
      <c r="D34" s="316">
        <v>41865</v>
      </c>
      <c r="E34" s="424" t="s">
        <v>21</v>
      </c>
      <c r="F34" s="245">
        <v>151275</v>
      </c>
      <c r="G34" s="425" t="s">
        <v>348</v>
      </c>
      <c r="H34" s="425" t="s">
        <v>34</v>
      </c>
      <c r="I34" s="73">
        <f t="shared" si="41"/>
        <v>24</v>
      </c>
      <c r="J34" s="426">
        <f t="shared" si="1"/>
        <v>0</v>
      </c>
      <c r="K34" s="426">
        <f t="shared" si="2"/>
        <v>0</v>
      </c>
      <c r="L34" s="426">
        <f t="shared" si="3"/>
        <v>0</v>
      </c>
      <c r="M34" s="426">
        <f t="shared" si="4"/>
        <v>151275</v>
      </c>
      <c r="N34" s="426">
        <f t="shared" si="5"/>
        <v>0</v>
      </c>
      <c r="O34" s="426">
        <f t="shared" si="6"/>
        <v>0</v>
      </c>
      <c r="P34" s="426">
        <f t="shared" si="7"/>
        <v>0</v>
      </c>
      <c r="Q34" s="426">
        <f t="shared" si="8"/>
        <v>0</v>
      </c>
      <c r="R34" s="426">
        <f t="shared" si="39"/>
        <v>0</v>
      </c>
      <c r="S34" s="426">
        <f t="shared" si="40"/>
        <v>0</v>
      </c>
      <c r="T34" s="426">
        <f t="shared" si="9"/>
        <v>0</v>
      </c>
      <c r="U34" s="426">
        <f t="shared" si="10"/>
        <v>0</v>
      </c>
      <c r="V34" s="426">
        <f t="shared" si="11"/>
        <v>0</v>
      </c>
      <c r="W34" s="426">
        <f t="shared" si="12"/>
        <v>0</v>
      </c>
      <c r="X34" s="426">
        <f t="shared" si="13"/>
        <v>0</v>
      </c>
      <c r="Y34" s="426">
        <f t="shared" si="14"/>
        <v>0</v>
      </c>
      <c r="Z34" s="426">
        <f t="shared" si="15"/>
        <v>0</v>
      </c>
      <c r="AA34" s="426">
        <f t="shared" si="16"/>
        <v>0</v>
      </c>
      <c r="AB34" s="426">
        <f t="shared" si="17"/>
        <v>0</v>
      </c>
      <c r="AC34" s="426">
        <f t="shared" si="18"/>
        <v>0</v>
      </c>
      <c r="AD34" s="426">
        <f t="shared" si="19"/>
        <v>0</v>
      </c>
      <c r="AE34" s="426">
        <f t="shared" si="20"/>
        <v>0</v>
      </c>
      <c r="AF34" s="426">
        <f t="shared" si="21"/>
        <v>0</v>
      </c>
      <c r="AG34" s="426">
        <f t="shared" si="22"/>
        <v>0</v>
      </c>
      <c r="AH34" s="426">
        <f t="shared" si="23"/>
        <v>0</v>
      </c>
      <c r="AI34" s="426">
        <f t="shared" si="24"/>
        <v>0</v>
      </c>
      <c r="AJ34" s="426">
        <f t="shared" si="25"/>
        <v>0</v>
      </c>
      <c r="AK34" s="426">
        <f t="shared" si="26"/>
        <v>0</v>
      </c>
      <c r="AL34" s="426">
        <f t="shared" si="27"/>
        <v>0</v>
      </c>
      <c r="AM34" s="426">
        <f t="shared" si="28"/>
        <v>0</v>
      </c>
      <c r="AN34" s="426">
        <f t="shared" si="29"/>
        <v>0</v>
      </c>
      <c r="AO34" s="426">
        <f t="shared" si="30"/>
        <v>0</v>
      </c>
      <c r="AP34" s="426">
        <f t="shared" si="31"/>
        <v>0</v>
      </c>
      <c r="AQ34" s="426">
        <f t="shared" si="32"/>
        <v>0</v>
      </c>
      <c r="AR34" s="426">
        <f t="shared" si="33"/>
        <v>0</v>
      </c>
      <c r="AS34" s="426">
        <f t="shared" si="34"/>
        <v>0</v>
      </c>
      <c r="AT34" s="426">
        <f t="shared" si="35"/>
        <v>0</v>
      </c>
      <c r="AU34" s="426">
        <f t="shared" si="36"/>
        <v>0</v>
      </c>
      <c r="AV34" s="426">
        <f t="shared" si="37"/>
        <v>0</v>
      </c>
      <c r="AW34" s="426">
        <f t="shared" si="38"/>
        <v>0</v>
      </c>
    </row>
    <row r="35" spans="1:49" s="421" customFormat="1" ht="12" customHeight="1">
      <c r="A35" s="73">
        <f t="array" ref="A35">IF(C35&lt;&gt;0,SUM(($C$11:C35&lt;&gt;0)*1),"")</f>
        <v>25</v>
      </c>
      <c r="B35" s="422">
        <v>41865</v>
      </c>
      <c r="C35" s="316" t="s">
        <v>8</v>
      </c>
      <c r="D35" s="316">
        <v>41865</v>
      </c>
      <c r="E35" s="424" t="s">
        <v>335</v>
      </c>
      <c r="F35" s="245">
        <v>15127</v>
      </c>
      <c r="G35" s="425" t="s">
        <v>10</v>
      </c>
      <c r="H35" s="425" t="s">
        <v>34</v>
      </c>
      <c r="I35" s="73">
        <f t="shared" si="41"/>
        <v>25</v>
      </c>
      <c r="J35" s="426">
        <f t="shared" si="1"/>
        <v>0</v>
      </c>
      <c r="K35" s="426">
        <f t="shared" si="2"/>
        <v>0</v>
      </c>
      <c r="L35" s="426">
        <f t="shared" si="3"/>
        <v>0</v>
      </c>
      <c r="M35" s="426">
        <f t="shared" si="4"/>
        <v>15127</v>
      </c>
      <c r="N35" s="426">
        <f t="shared" si="5"/>
        <v>15127</v>
      </c>
      <c r="O35" s="426">
        <f t="shared" si="6"/>
        <v>0</v>
      </c>
      <c r="P35" s="426">
        <f t="shared" si="7"/>
        <v>0</v>
      </c>
      <c r="Q35" s="426">
        <f t="shared" si="8"/>
        <v>0</v>
      </c>
      <c r="R35" s="426">
        <f t="shared" si="39"/>
        <v>0</v>
      </c>
      <c r="S35" s="426">
        <f t="shared" si="40"/>
        <v>0</v>
      </c>
      <c r="T35" s="426">
        <f t="shared" si="9"/>
        <v>0</v>
      </c>
      <c r="U35" s="426">
        <f t="shared" si="10"/>
        <v>0</v>
      </c>
      <c r="V35" s="426">
        <f t="shared" si="11"/>
        <v>0</v>
      </c>
      <c r="W35" s="426">
        <f t="shared" si="12"/>
        <v>0</v>
      </c>
      <c r="X35" s="426">
        <f t="shared" si="13"/>
        <v>0</v>
      </c>
      <c r="Y35" s="426">
        <f t="shared" si="14"/>
        <v>0</v>
      </c>
      <c r="Z35" s="426">
        <f t="shared" si="15"/>
        <v>0</v>
      </c>
      <c r="AA35" s="426">
        <f t="shared" si="16"/>
        <v>0</v>
      </c>
      <c r="AB35" s="426">
        <f t="shared" si="17"/>
        <v>0</v>
      </c>
      <c r="AC35" s="426">
        <f t="shared" si="18"/>
        <v>0</v>
      </c>
      <c r="AD35" s="426">
        <f t="shared" si="19"/>
        <v>0</v>
      </c>
      <c r="AE35" s="426">
        <f t="shared" si="20"/>
        <v>0</v>
      </c>
      <c r="AF35" s="426">
        <f t="shared" si="21"/>
        <v>0</v>
      </c>
      <c r="AG35" s="426">
        <f t="shared" si="22"/>
        <v>0</v>
      </c>
      <c r="AH35" s="426">
        <f t="shared" si="23"/>
        <v>0</v>
      </c>
      <c r="AI35" s="426">
        <f t="shared" si="24"/>
        <v>0</v>
      </c>
      <c r="AJ35" s="426">
        <f t="shared" si="25"/>
        <v>0</v>
      </c>
      <c r="AK35" s="426">
        <f t="shared" si="26"/>
        <v>0</v>
      </c>
      <c r="AL35" s="426">
        <f t="shared" si="27"/>
        <v>0</v>
      </c>
      <c r="AM35" s="426">
        <f t="shared" si="28"/>
        <v>0</v>
      </c>
      <c r="AN35" s="426">
        <f t="shared" si="29"/>
        <v>0</v>
      </c>
      <c r="AO35" s="426">
        <f t="shared" si="30"/>
        <v>0</v>
      </c>
      <c r="AP35" s="426">
        <f t="shared" si="31"/>
        <v>0</v>
      </c>
      <c r="AQ35" s="426">
        <f t="shared" si="32"/>
        <v>0</v>
      </c>
      <c r="AR35" s="426">
        <f t="shared" si="33"/>
        <v>0</v>
      </c>
      <c r="AS35" s="426">
        <f t="shared" si="34"/>
        <v>0</v>
      </c>
      <c r="AT35" s="426">
        <f t="shared" si="35"/>
        <v>0</v>
      </c>
      <c r="AU35" s="426">
        <f t="shared" si="36"/>
        <v>0</v>
      </c>
      <c r="AV35" s="426">
        <f t="shared" si="37"/>
        <v>0</v>
      </c>
      <c r="AW35" s="426">
        <f t="shared" si="38"/>
        <v>0</v>
      </c>
    </row>
    <row r="36" spans="1:49" s="421" customFormat="1" ht="12" customHeight="1">
      <c r="A36" s="73">
        <f t="array" ref="A36">IF(C36&lt;&gt;0,SUM(($C$11:C36&lt;&gt;0)*1),"")</f>
        <v>26</v>
      </c>
      <c r="B36" s="422">
        <v>41870</v>
      </c>
      <c r="C36" s="316" t="s">
        <v>11</v>
      </c>
      <c r="D36" s="316">
        <v>41870</v>
      </c>
      <c r="E36" s="424" t="s">
        <v>362</v>
      </c>
      <c r="F36" s="245">
        <v>1000000000</v>
      </c>
      <c r="G36" s="425" t="s">
        <v>34</v>
      </c>
      <c r="H36" s="425" t="s">
        <v>65</v>
      </c>
      <c r="I36" s="73">
        <f t="shared" si="41"/>
        <v>26</v>
      </c>
      <c r="J36" s="426">
        <f t="shared" si="1"/>
        <v>0</v>
      </c>
      <c r="K36" s="426">
        <f t="shared" si="2"/>
        <v>0</v>
      </c>
      <c r="L36" s="426">
        <f t="shared" si="3"/>
        <v>1000000000</v>
      </c>
      <c r="M36" s="426">
        <f t="shared" si="4"/>
        <v>0</v>
      </c>
      <c r="N36" s="426">
        <f t="shared" si="5"/>
        <v>0</v>
      </c>
      <c r="O36" s="426">
        <f t="shared" si="6"/>
        <v>0</v>
      </c>
      <c r="P36" s="426">
        <f t="shared" si="7"/>
        <v>0</v>
      </c>
      <c r="Q36" s="426">
        <f t="shared" si="8"/>
        <v>0</v>
      </c>
      <c r="R36" s="426">
        <f t="shared" si="39"/>
        <v>0</v>
      </c>
      <c r="S36" s="426">
        <f t="shared" si="40"/>
        <v>0</v>
      </c>
      <c r="T36" s="426">
        <f t="shared" si="9"/>
        <v>0</v>
      </c>
      <c r="U36" s="426">
        <f t="shared" si="10"/>
        <v>0</v>
      </c>
      <c r="V36" s="426">
        <f t="shared" si="11"/>
        <v>0</v>
      </c>
      <c r="W36" s="426">
        <f t="shared" si="12"/>
        <v>0</v>
      </c>
      <c r="X36" s="426">
        <f t="shared" si="13"/>
        <v>0</v>
      </c>
      <c r="Y36" s="426">
        <f t="shared" si="14"/>
        <v>0</v>
      </c>
      <c r="Z36" s="426">
        <f t="shared" si="15"/>
        <v>0</v>
      </c>
      <c r="AA36" s="426">
        <f t="shared" si="16"/>
        <v>0</v>
      </c>
      <c r="AB36" s="426">
        <f t="shared" si="17"/>
        <v>0</v>
      </c>
      <c r="AC36" s="426">
        <f t="shared" si="18"/>
        <v>0</v>
      </c>
      <c r="AD36" s="426">
        <f t="shared" si="19"/>
        <v>0</v>
      </c>
      <c r="AE36" s="426">
        <f t="shared" si="20"/>
        <v>0</v>
      </c>
      <c r="AF36" s="426">
        <f t="shared" si="21"/>
        <v>0</v>
      </c>
      <c r="AG36" s="426">
        <f t="shared" si="22"/>
        <v>0</v>
      </c>
      <c r="AH36" s="426">
        <f t="shared" si="23"/>
        <v>0</v>
      </c>
      <c r="AI36" s="426">
        <f t="shared" si="24"/>
        <v>0</v>
      </c>
      <c r="AJ36" s="426">
        <f t="shared" si="25"/>
        <v>0</v>
      </c>
      <c r="AK36" s="426">
        <f t="shared" si="26"/>
        <v>0</v>
      </c>
      <c r="AL36" s="426">
        <f t="shared" si="27"/>
        <v>0</v>
      </c>
      <c r="AM36" s="426">
        <f t="shared" si="28"/>
        <v>0</v>
      </c>
      <c r="AN36" s="426">
        <f t="shared" si="29"/>
        <v>0</v>
      </c>
      <c r="AO36" s="426">
        <f t="shared" si="30"/>
        <v>0</v>
      </c>
      <c r="AP36" s="426">
        <f t="shared" si="31"/>
        <v>0</v>
      </c>
      <c r="AQ36" s="426">
        <f t="shared" si="32"/>
        <v>0</v>
      </c>
      <c r="AR36" s="426">
        <f t="shared" si="33"/>
        <v>0</v>
      </c>
      <c r="AS36" s="426">
        <f t="shared" si="34"/>
        <v>0</v>
      </c>
      <c r="AT36" s="426">
        <f t="shared" si="35"/>
        <v>0</v>
      </c>
      <c r="AU36" s="426">
        <f t="shared" si="36"/>
        <v>0</v>
      </c>
      <c r="AV36" s="426">
        <f t="shared" si="37"/>
        <v>0</v>
      </c>
      <c r="AW36" s="426">
        <f t="shared" si="38"/>
        <v>0</v>
      </c>
    </row>
    <row r="37" spans="1:49" s="421" customFormat="1" ht="12" customHeight="1">
      <c r="A37" s="73">
        <f t="array" ref="A37">IF(C37&lt;&gt;0,SUM(($C$11:C37&lt;&gt;0)*1),"")</f>
        <v>27</v>
      </c>
      <c r="B37" s="422">
        <v>41871</v>
      </c>
      <c r="C37" s="316" t="s">
        <v>8</v>
      </c>
      <c r="D37" s="316">
        <v>41871</v>
      </c>
      <c r="E37" s="424" t="s">
        <v>343</v>
      </c>
      <c r="F37" s="245">
        <v>50000000</v>
      </c>
      <c r="G37" s="425" t="s">
        <v>9</v>
      </c>
      <c r="H37" s="425" t="s">
        <v>34</v>
      </c>
      <c r="I37" s="73">
        <f t="shared" si="41"/>
        <v>27</v>
      </c>
      <c r="J37" s="426">
        <f t="shared" si="1"/>
        <v>0</v>
      </c>
      <c r="K37" s="426">
        <f t="shared" si="2"/>
        <v>0</v>
      </c>
      <c r="L37" s="426">
        <f t="shared" si="3"/>
        <v>0</v>
      </c>
      <c r="M37" s="426">
        <f t="shared" si="4"/>
        <v>50000000</v>
      </c>
      <c r="N37" s="426">
        <f t="shared" si="5"/>
        <v>0</v>
      </c>
      <c r="O37" s="426">
        <f t="shared" si="6"/>
        <v>0</v>
      </c>
      <c r="P37" s="426">
        <f t="shared" si="7"/>
        <v>0</v>
      </c>
      <c r="Q37" s="426">
        <f t="shared" si="8"/>
        <v>0</v>
      </c>
      <c r="R37" s="426">
        <f t="shared" si="39"/>
        <v>0</v>
      </c>
      <c r="S37" s="426">
        <f t="shared" si="40"/>
        <v>0</v>
      </c>
      <c r="T37" s="426">
        <f t="shared" si="9"/>
        <v>50000000</v>
      </c>
      <c r="U37" s="426">
        <f t="shared" si="10"/>
        <v>0</v>
      </c>
      <c r="V37" s="426">
        <f t="shared" si="11"/>
        <v>0</v>
      </c>
      <c r="W37" s="426">
        <f t="shared" si="12"/>
        <v>0</v>
      </c>
      <c r="X37" s="426">
        <f t="shared" si="13"/>
        <v>0</v>
      </c>
      <c r="Y37" s="426">
        <f t="shared" si="14"/>
        <v>0</v>
      </c>
      <c r="Z37" s="426">
        <f t="shared" si="15"/>
        <v>0</v>
      </c>
      <c r="AA37" s="426">
        <f t="shared" si="16"/>
        <v>0</v>
      </c>
      <c r="AB37" s="426">
        <f t="shared" si="17"/>
        <v>0</v>
      </c>
      <c r="AC37" s="426">
        <f t="shared" si="18"/>
        <v>0</v>
      </c>
      <c r="AD37" s="426">
        <f t="shared" si="19"/>
        <v>0</v>
      </c>
      <c r="AE37" s="426">
        <f t="shared" si="20"/>
        <v>0</v>
      </c>
      <c r="AF37" s="426">
        <f t="shared" si="21"/>
        <v>0</v>
      </c>
      <c r="AG37" s="426">
        <f t="shared" si="22"/>
        <v>0</v>
      </c>
      <c r="AH37" s="426">
        <f t="shared" si="23"/>
        <v>0</v>
      </c>
      <c r="AI37" s="426">
        <f t="shared" si="24"/>
        <v>0</v>
      </c>
      <c r="AJ37" s="426">
        <f t="shared" si="25"/>
        <v>0</v>
      </c>
      <c r="AK37" s="426">
        <f t="shared" si="26"/>
        <v>0</v>
      </c>
      <c r="AL37" s="426">
        <f t="shared" si="27"/>
        <v>0</v>
      </c>
      <c r="AM37" s="426">
        <f t="shared" si="28"/>
        <v>0</v>
      </c>
      <c r="AN37" s="426">
        <f t="shared" si="29"/>
        <v>0</v>
      </c>
      <c r="AO37" s="426">
        <f t="shared" si="30"/>
        <v>0</v>
      </c>
      <c r="AP37" s="426">
        <f t="shared" si="31"/>
        <v>0</v>
      </c>
      <c r="AQ37" s="426">
        <f t="shared" si="32"/>
        <v>0</v>
      </c>
      <c r="AR37" s="426">
        <f t="shared" si="33"/>
        <v>0</v>
      </c>
      <c r="AS37" s="426">
        <f t="shared" si="34"/>
        <v>0</v>
      </c>
      <c r="AT37" s="426">
        <f t="shared" si="35"/>
        <v>0</v>
      </c>
      <c r="AU37" s="426">
        <f t="shared" si="36"/>
        <v>0</v>
      </c>
      <c r="AV37" s="426">
        <f t="shared" si="37"/>
        <v>0</v>
      </c>
      <c r="AW37" s="426">
        <f t="shared" si="38"/>
        <v>0</v>
      </c>
    </row>
    <row r="38" spans="1:49" s="421" customFormat="1" ht="12" customHeight="1">
      <c r="A38" s="73">
        <f t="array" ref="A38">IF(C38&lt;&gt;0,SUM(($C$11:C38&lt;&gt;0)*1),"")</f>
        <v>28</v>
      </c>
      <c r="B38" s="422">
        <v>41871</v>
      </c>
      <c r="C38" s="316" t="s">
        <v>8</v>
      </c>
      <c r="D38" s="316">
        <v>41871</v>
      </c>
      <c r="E38" s="424" t="s">
        <v>21</v>
      </c>
      <c r="F38" s="75">
        <v>25000</v>
      </c>
      <c r="G38" s="425" t="s">
        <v>348</v>
      </c>
      <c r="H38" s="425" t="s">
        <v>34</v>
      </c>
      <c r="I38" s="73">
        <f t="shared" si="41"/>
        <v>28</v>
      </c>
      <c r="J38" s="426">
        <f t="shared" si="1"/>
        <v>0</v>
      </c>
      <c r="K38" s="426">
        <f t="shared" si="2"/>
        <v>0</v>
      </c>
      <c r="L38" s="426">
        <f t="shared" si="3"/>
        <v>0</v>
      </c>
      <c r="M38" s="426">
        <f t="shared" si="4"/>
        <v>25000</v>
      </c>
      <c r="N38" s="426">
        <f t="shared" si="5"/>
        <v>0</v>
      </c>
      <c r="O38" s="426">
        <f t="shared" si="6"/>
        <v>0</v>
      </c>
      <c r="P38" s="426">
        <f t="shared" si="7"/>
        <v>0</v>
      </c>
      <c r="Q38" s="426">
        <f t="shared" si="8"/>
        <v>0</v>
      </c>
      <c r="R38" s="426">
        <f t="shared" si="39"/>
        <v>0</v>
      </c>
      <c r="S38" s="426">
        <f t="shared" si="40"/>
        <v>0</v>
      </c>
      <c r="T38" s="426">
        <f t="shared" si="9"/>
        <v>0</v>
      </c>
      <c r="U38" s="426">
        <f t="shared" si="10"/>
        <v>0</v>
      </c>
      <c r="V38" s="426">
        <f t="shared" si="11"/>
        <v>0</v>
      </c>
      <c r="W38" s="426">
        <f t="shared" si="12"/>
        <v>0</v>
      </c>
      <c r="X38" s="426">
        <f t="shared" si="13"/>
        <v>0</v>
      </c>
      <c r="Y38" s="426">
        <f t="shared" si="14"/>
        <v>0</v>
      </c>
      <c r="Z38" s="426">
        <f t="shared" si="15"/>
        <v>0</v>
      </c>
      <c r="AA38" s="426">
        <f t="shared" si="16"/>
        <v>0</v>
      </c>
      <c r="AB38" s="426">
        <f t="shared" si="17"/>
        <v>0</v>
      </c>
      <c r="AC38" s="426">
        <f t="shared" si="18"/>
        <v>0</v>
      </c>
      <c r="AD38" s="426">
        <f t="shared" si="19"/>
        <v>0</v>
      </c>
      <c r="AE38" s="426">
        <f t="shared" si="20"/>
        <v>0</v>
      </c>
      <c r="AF38" s="426">
        <f t="shared" si="21"/>
        <v>0</v>
      </c>
      <c r="AG38" s="426">
        <f t="shared" si="22"/>
        <v>0</v>
      </c>
      <c r="AH38" s="426">
        <f t="shared" si="23"/>
        <v>0</v>
      </c>
      <c r="AI38" s="426">
        <f t="shared" si="24"/>
        <v>0</v>
      </c>
      <c r="AJ38" s="426">
        <f t="shared" si="25"/>
        <v>0</v>
      </c>
      <c r="AK38" s="426">
        <f t="shared" si="26"/>
        <v>0</v>
      </c>
      <c r="AL38" s="426">
        <f t="shared" si="27"/>
        <v>0</v>
      </c>
      <c r="AM38" s="426">
        <f t="shared" si="28"/>
        <v>0</v>
      </c>
      <c r="AN38" s="426">
        <f t="shared" si="29"/>
        <v>0</v>
      </c>
      <c r="AO38" s="426">
        <f t="shared" si="30"/>
        <v>0</v>
      </c>
      <c r="AP38" s="426">
        <f t="shared" si="31"/>
        <v>0</v>
      </c>
      <c r="AQ38" s="426">
        <f t="shared" si="32"/>
        <v>0</v>
      </c>
      <c r="AR38" s="426">
        <f t="shared" si="33"/>
        <v>0</v>
      </c>
      <c r="AS38" s="426">
        <f t="shared" si="34"/>
        <v>0</v>
      </c>
      <c r="AT38" s="426">
        <f t="shared" si="35"/>
        <v>0</v>
      </c>
      <c r="AU38" s="426">
        <f t="shared" si="36"/>
        <v>0</v>
      </c>
      <c r="AV38" s="426">
        <f t="shared" si="37"/>
        <v>0</v>
      </c>
      <c r="AW38" s="426">
        <f t="shared" si="38"/>
        <v>0</v>
      </c>
    </row>
    <row r="39" spans="1:49" s="421" customFormat="1" ht="12" customHeight="1">
      <c r="A39" s="73">
        <f t="array" ref="A39">IF(C39&lt;&gt;0,SUM(($C$11:C39&lt;&gt;0)*1),"")</f>
        <v>29</v>
      </c>
      <c r="B39" s="422">
        <v>41871</v>
      </c>
      <c r="C39" s="316" t="s">
        <v>8</v>
      </c>
      <c r="D39" s="316">
        <v>41871</v>
      </c>
      <c r="E39" s="424" t="s">
        <v>335</v>
      </c>
      <c r="F39" s="75">
        <v>2500</v>
      </c>
      <c r="G39" s="425" t="s">
        <v>10</v>
      </c>
      <c r="H39" s="425" t="s">
        <v>34</v>
      </c>
      <c r="I39" s="73">
        <f t="shared" si="41"/>
        <v>29</v>
      </c>
      <c r="J39" s="426">
        <f t="shared" si="1"/>
        <v>0</v>
      </c>
      <c r="K39" s="426">
        <f t="shared" si="2"/>
        <v>0</v>
      </c>
      <c r="L39" s="426">
        <f t="shared" si="3"/>
        <v>0</v>
      </c>
      <c r="M39" s="426">
        <f t="shared" si="4"/>
        <v>2500</v>
      </c>
      <c r="N39" s="426">
        <f t="shared" si="5"/>
        <v>2500</v>
      </c>
      <c r="O39" s="426">
        <f t="shared" si="6"/>
        <v>0</v>
      </c>
      <c r="P39" s="426">
        <f t="shared" si="7"/>
        <v>0</v>
      </c>
      <c r="Q39" s="426">
        <f t="shared" si="8"/>
        <v>0</v>
      </c>
      <c r="R39" s="426">
        <f t="shared" si="39"/>
        <v>0</v>
      </c>
      <c r="S39" s="426">
        <f t="shared" si="40"/>
        <v>0</v>
      </c>
      <c r="T39" s="426">
        <f t="shared" si="9"/>
        <v>0</v>
      </c>
      <c r="U39" s="426">
        <f t="shared" si="10"/>
        <v>0</v>
      </c>
      <c r="V39" s="426">
        <f t="shared" si="11"/>
        <v>0</v>
      </c>
      <c r="W39" s="426">
        <f t="shared" si="12"/>
        <v>0</v>
      </c>
      <c r="X39" s="426">
        <f t="shared" si="13"/>
        <v>0</v>
      </c>
      <c r="Y39" s="426">
        <f t="shared" si="14"/>
        <v>0</v>
      </c>
      <c r="Z39" s="426">
        <f t="shared" si="15"/>
        <v>0</v>
      </c>
      <c r="AA39" s="426">
        <f t="shared" si="16"/>
        <v>0</v>
      </c>
      <c r="AB39" s="426">
        <f t="shared" si="17"/>
        <v>0</v>
      </c>
      <c r="AC39" s="426">
        <f t="shared" si="18"/>
        <v>0</v>
      </c>
      <c r="AD39" s="426">
        <f t="shared" si="19"/>
        <v>0</v>
      </c>
      <c r="AE39" s="426">
        <f t="shared" si="20"/>
        <v>0</v>
      </c>
      <c r="AF39" s="426">
        <f t="shared" si="21"/>
        <v>0</v>
      </c>
      <c r="AG39" s="426">
        <f t="shared" si="22"/>
        <v>0</v>
      </c>
      <c r="AH39" s="426">
        <f t="shared" si="23"/>
        <v>0</v>
      </c>
      <c r="AI39" s="426">
        <f t="shared" si="24"/>
        <v>0</v>
      </c>
      <c r="AJ39" s="426">
        <f t="shared" si="25"/>
        <v>0</v>
      </c>
      <c r="AK39" s="426">
        <f t="shared" si="26"/>
        <v>0</v>
      </c>
      <c r="AL39" s="426">
        <f t="shared" si="27"/>
        <v>0</v>
      </c>
      <c r="AM39" s="426">
        <f t="shared" si="28"/>
        <v>0</v>
      </c>
      <c r="AN39" s="426">
        <f t="shared" si="29"/>
        <v>0</v>
      </c>
      <c r="AO39" s="426">
        <f t="shared" si="30"/>
        <v>0</v>
      </c>
      <c r="AP39" s="426">
        <f t="shared" si="31"/>
        <v>0</v>
      </c>
      <c r="AQ39" s="426">
        <f t="shared" si="32"/>
        <v>0</v>
      </c>
      <c r="AR39" s="426">
        <f t="shared" si="33"/>
        <v>0</v>
      </c>
      <c r="AS39" s="426">
        <f t="shared" si="34"/>
        <v>0</v>
      </c>
      <c r="AT39" s="426">
        <f t="shared" si="35"/>
        <v>0</v>
      </c>
      <c r="AU39" s="426">
        <f t="shared" si="36"/>
        <v>0</v>
      </c>
      <c r="AV39" s="426">
        <f t="shared" si="37"/>
        <v>0</v>
      </c>
      <c r="AW39" s="426">
        <f t="shared" si="38"/>
        <v>0</v>
      </c>
    </row>
    <row r="40" spans="1:49" s="421" customFormat="1" ht="12" customHeight="1">
      <c r="A40" s="73">
        <f t="array" ref="A40">IF(C40&lt;&gt;0,SUM(($C$11:C40&lt;&gt;0)*1),"")</f>
        <v>30</v>
      </c>
      <c r="B40" s="422">
        <v>41871</v>
      </c>
      <c r="C40" s="316" t="s">
        <v>8</v>
      </c>
      <c r="D40" s="316">
        <v>41871</v>
      </c>
      <c r="E40" s="424" t="s">
        <v>405</v>
      </c>
      <c r="F40" s="75">
        <v>80000000</v>
      </c>
      <c r="G40" s="432" t="s">
        <v>9</v>
      </c>
      <c r="H40" s="425" t="s">
        <v>34</v>
      </c>
      <c r="I40" s="73">
        <f t="shared" si="41"/>
        <v>30</v>
      </c>
      <c r="J40" s="426">
        <f t="shared" si="1"/>
        <v>0</v>
      </c>
      <c r="K40" s="426">
        <f t="shared" si="2"/>
        <v>0</v>
      </c>
      <c r="L40" s="426">
        <f t="shared" si="3"/>
        <v>0</v>
      </c>
      <c r="M40" s="426">
        <f t="shared" si="4"/>
        <v>80000000</v>
      </c>
      <c r="N40" s="426">
        <f t="shared" si="5"/>
        <v>0</v>
      </c>
      <c r="O40" s="426">
        <f t="shared" si="6"/>
        <v>0</v>
      </c>
      <c r="P40" s="426">
        <f t="shared" si="7"/>
        <v>0</v>
      </c>
      <c r="Q40" s="426">
        <f t="shared" si="8"/>
        <v>0</v>
      </c>
      <c r="R40" s="426">
        <f t="shared" si="39"/>
        <v>0</v>
      </c>
      <c r="S40" s="426">
        <f t="shared" si="40"/>
        <v>0</v>
      </c>
      <c r="T40" s="426">
        <f t="shared" si="9"/>
        <v>80000000</v>
      </c>
      <c r="U40" s="426">
        <f t="shared" si="10"/>
        <v>0</v>
      </c>
      <c r="V40" s="426">
        <f t="shared" si="11"/>
        <v>0</v>
      </c>
      <c r="W40" s="426">
        <f t="shared" si="12"/>
        <v>0</v>
      </c>
      <c r="X40" s="426">
        <f t="shared" si="13"/>
        <v>0</v>
      </c>
      <c r="Y40" s="426">
        <f t="shared" si="14"/>
        <v>0</v>
      </c>
      <c r="Z40" s="426">
        <f t="shared" si="15"/>
        <v>0</v>
      </c>
      <c r="AA40" s="426">
        <f t="shared" si="16"/>
        <v>0</v>
      </c>
      <c r="AB40" s="426">
        <f t="shared" si="17"/>
        <v>0</v>
      </c>
      <c r="AC40" s="426">
        <f t="shared" si="18"/>
        <v>0</v>
      </c>
      <c r="AD40" s="426">
        <f t="shared" si="19"/>
        <v>0</v>
      </c>
      <c r="AE40" s="426">
        <f t="shared" si="20"/>
        <v>0</v>
      </c>
      <c r="AF40" s="426">
        <f t="shared" si="21"/>
        <v>0</v>
      </c>
      <c r="AG40" s="426">
        <f t="shared" si="22"/>
        <v>0</v>
      </c>
      <c r="AH40" s="426">
        <f t="shared" si="23"/>
        <v>0</v>
      </c>
      <c r="AI40" s="426">
        <f t="shared" si="24"/>
        <v>0</v>
      </c>
      <c r="AJ40" s="426">
        <f t="shared" si="25"/>
        <v>0</v>
      </c>
      <c r="AK40" s="426">
        <f t="shared" si="26"/>
        <v>0</v>
      </c>
      <c r="AL40" s="426">
        <f t="shared" si="27"/>
        <v>0</v>
      </c>
      <c r="AM40" s="426">
        <f t="shared" si="28"/>
        <v>0</v>
      </c>
      <c r="AN40" s="426">
        <f t="shared" si="29"/>
        <v>0</v>
      </c>
      <c r="AO40" s="426">
        <f t="shared" si="30"/>
        <v>0</v>
      </c>
      <c r="AP40" s="426">
        <f t="shared" si="31"/>
        <v>0</v>
      </c>
      <c r="AQ40" s="426">
        <f t="shared" si="32"/>
        <v>0</v>
      </c>
      <c r="AR40" s="426">
        <f t="shared" si="33"/>
        <v>0</v>
      </c>
      <c r="AS40" s="426">
        <f t="shared" si="34"/>
        <v>0</v>
      </c>
      <c r="AT40" s="426">
        <f t="shared" si="35"/>
        <v>0</v>
      </c>
      <c r="AU40" s="426">
        <f t="shared" si="36"/>
        <v>0</v>
      </c>
      <c r="AV40" s="426">
        <f t="shared" si="37"/>
        <v>0</v>
      </c>
      <c r="AW40" s="426">
        <f t="shared" si="38"/>
        <v>0</v>
      </c>
    </row>
    <row r="41" spans="1:49" s="421" customFormat="1" ht="12" customHeight="1">
      <c r="A41" s="73">
        <f t="array" ref="A41">IF(C41&lt;&gt;0,SUM(($C$11:C41&lt;&gt;0)*1),"")</f>
        <v>31</v>
      </c>
      <c r="B41" s="422">
        <v>41871</v>
      </c>
      <c r="C41" s="316" t="s">
        <v>8</v>
      </c>
      <c r="D41" s="316">
        <v>41871</v>
      </c>
      <c r="E41" s="424" t="s">
        <v>21</v>
      </c>
      <c r="F41" s="75">
        <v>24000</v>
      </c>
      <c r="G41" s="432" t="s">
        <v>348</v>
      </c>
      <c r="H41" s="425" t="s">
        <v>34</v>
      </c>
      <c r="I41" s="73">
        <f t="shared" si="41"/>
        <v>31</v>
      </c>
      <c r="J41" s="426">
        <f t="shared" si="1"/>
        <v>0</v>
      </c>
      <c r="K41" s="426">
        <f t="shared" si="2"/>
        <v>0</v>
      </c>
      <c r="L41" s="426">
        <f t="shared" si="3"/>
        <v>0</v>
      </c>
      <c r="M41" s="426">
        <f t="shared" si="4"/>
        <v>24000</v>
      </c>
      <c r="N41" s="426">
        <f t="shared" si="5"/>
        <v>0</v>
      </c>
      <c r="O41" s="426">
        <f t="shared" si="6"/>
        <v>0</v>
      </c>
      <c r="P41" s="426">
        <f t="shared" si="7"/>
        <v>0</v>
      </c>
      <c r="Q41" s="426">
        <f t="shared" si="8"/>
        <v>0</v>
      </c>
      <c r="R41" s="426">
        <f t="shared" si="39"/>
        <v>0</v>
      </c>
      <c r="S41" s="426">
        <f t="shared" si="40"/>
        <v>0</v>
      </c>
      <c r="T41" s="426">
        <f t="shared" si="9"/>
        <v>0</v>
      </c>
      <c r="U41" s="426">
        <f t="shared" si="10"/>
        <v>0</v>
      </c>
      <c r="V41" s="426">
        <f t="shared" si="11"/>
        <v>0</v>
      </c>
      <c r="W41" s="426">
        <f t="shared" si="12"/>
        <v>0</v>
      </c>
      <c r="X41" s="426">
        <f t="shared" si="13"/>
        <v>0</v>
      </c>
      <c r="Y41" s="426">
        <f t="shared" si="14"/>
        <v>0</v>
      </c>
      <c r="Z41" s="426">
        <f t="shared" si="15"/>
        <v>0</v>
      </c>
      <c r="AA41" s="426">
        <f t="shared" si="16"/>
        <v>0</v>
      </c>
      <c r="AB41" s="426">
        <f t="shared" si="17"/>
        <v>0</v>
      </c>
      <c r="AC41" s="426">
        <f t="shared" si="18"/>
        <v>0</v>
      </c>
      <c r="AD41" s="426">
        <f t="shared" si="19"/>
        <v>0</v>
      </c>
      <c r="AE41" s="426">
        <f t="shared" si="20"/>
        <v>0</v>
      </c>
      <c r="AF41" s="426">
        <f t="shared" si="21"/>
        <v>0</v>
      </c>
      <c r="AG41" s="426">
        <f t="shared" si="22"/>
        <v>0</v>
      </c>
      <c r="AH41" s="426">
        <f t="shared" si="23"/>
        <v>0</v>
      </c>
      <c r="AI41" s="426">
        <f t="shared" si="24"/>
        <v>0</v>
      </c>
      <c r="AJ41" s="426">
        <f t="shared" si="25"/>
        <v>0</v>
      </c>
      <c r="AK41" s="426">
        <f t="shared" si="26"/>
        <v>0</v>
      </c>
      <c r="AL41" s="426">
        <f t="shared" si="27"/>
        <v>0</v>
      </c>
      <c r="AM41" s="426">
        <f t="shared" si="28"/>
        <v>0</v>
      </c>
      <c r="AN41" s="426">
        <f t="shared" si="29"/>
        <v>0</v>
      </c>
      <c r="AO41" s="426">
        <f t="shared" si="30"/>
        <v>0</v>
      </c>
      <c r="AP41" s="426">
        <f t="shared" si="31"/>
        <v>0</v>
      </c>
      <c r="AQ41" s="426">
        <f t="shared" si="32"/>
        <v>0</v>
      </c>
      <c r="AR41" s="426">
        <f t="shared" si="33"/>
        <v>0</v>
      </c>
      <c r="AS41" s="426">
        <f t="shared" si="34"/>
        <v>0</v>
      </c>
      <c r="AT41" s="426">
        <f t="shared" si="35"/>
        <v>0</v>
      </c>
      <c r="AU41" s="426">
        <f t="shared" si="36"/>
        <v>0</v>
      </c>
      <c r="AV41" s="426">
        <f t="shared" si="37"/>
        <v>0</v>
      </c>
      <c r="AW41" s="426">
        <f t="shared" si="38"/>
        <v>0</v>
      </c>
    </row>
    <row r="42" spans="1:49" s="421" customFormat="1" ht="12" customHeight="1">
      <c r="A42" s="73">
        <f t="array" ref="A42">IF(C42&lt;&gt;0,SUM(($C$11:C42&lt;&gt;0)*1),"")</f>
        <v>32</v>
      </c>
      <c r="B42" s="422">
        <v>41871</v>
      </c>
      <c r="C42" s="316" t="s">
        <v>8</v>
      </c>
      <c r="D42" s="316">
        <v>41871</v>
      </c>
      <c r="E42" s="424" t="s">
        <v>335</v>
      </c>
      <c r="F42" s="75">
        <v>2400</v>
      </c>
      <c r="G42" s="432" t="s">
        <v>10</v>
      </c>
      <c r="H42" s="425" t="s">
        <v>34</v>
      </c>
      <c r="I42" s="73">
        <f t="shared" si="41"/>
        <v>32</v>
      </c>
      <c r="J42" s="426">
        <f t="shared" si="1"/>
        <v>0</v>
      </c>
      <c r="K42" s="426">
        <f t="shared" si="2"/>
        <v>0</v>
      </c>
      <c r="L42" s="426">
        <f t="shared" si="3"/>
        <v>0</v>
      </c>
      <c r="M42" s="426">
        <f t="shared" si="4"/>
        <v>2400</v>
      </c>
      <c r="N42" s="426">
        <f t="shared" si="5"/>
        <v>2400</v>
      </c>
      <c r="O42" s="426">
        <f t="shared" si="6"/>
        <v>0</v>
      </c>
      <c r="P42" s="426">
        <f t="shared" si="7"/>
        <v>0</v>
      </c>
      <c r="Q42" s="426">
        <f t="shared" si="8"/>
        <v>0</v>
      </c>
      <c r="R42" s="426">
        <f t="shared" si="39"/>
        <v>0</v>
      </c>
      <c r="S42" s="426">
        <f t="shared" si="40"/>
        <v>0</v>
      </c>
      <c r="T42" s="426">
        <f t="shared" si="9"/>
        <v>0</v>
      </c>
      <c r="U42" s="426">
        <f t="shared" si="10"/>
        <v>0</v>
      </c>
      <c r="V42" s="426">
        <f t="shared" si="11"/>
        <v>0</v>
      </c>
      <c r="W42" s="426">
        <f t="shared" si="12"/>
        <v>0</v>
      </c>
      <c r="X42" s="426">
        <f t="shared" si="13"/>
        <v>0</v>
      </c>
      <c r="Y42" s="426">
        <f t="shared" si="14"/>
        <v>0</v>
      </c>
      <c r="Z42" s="426">
        <f t="shared" si="15"/>
        <v>0</v>
      </c>
      <c r="AA42" s="426">
        <f t="shared" si="16"/>
        <v>0</v>
      </c>
      <c r="AB42" s="426">
        <f t="shared" si="17"/>
        <v>0</v>
      </c>
      <c r="AC42" s="426">
        <f t="shared" si="18"/>
        <v>0</v>
      </c>
      <c r="AD42" s="426">
        <f t="shared" si="19"/>
        <v>0</v>
      </c>
      <c r="AE42" s="426">
        <f t="shared" si="20"/>
        <v>0</v>
      </c>
      <c r="AF42" s="426">
        <f t="shared" si="21"/>
        <v>0</v>
      </c>
      <c r="AG42" s="426">
        <f t="shared" si="22"/>
        <v>0</v>
      </c>
      <c r="AH42" s="426">
        <f t="shared" si="23"/>
        <v>0</v>
      </c>
      <c r="AI42" s="426">
        <f t="shared" si="24"/>
        <v>0</v>
      </c>
      <c r="AJ42" s="426">
        <f t="shared" si="25"/>
        <v>0</v>
      </c>
      <c r="AK42" s="426">
        <f t="shared" si="26"/>
        <v>0</v>
      </c>
      <c r="AL42" s="426">
        <f t="shared" si="27"/>
        <v>0</v>
      </c>
      <c r="AM42" s="426">
        <f t="shared" si="28"/>
        <v>0</v>
      </c>
      <c r="AN42" s="426">
        <f t="shared" si="29"/>
        <v>0</v>
      </c>
      <c r="AO42" s="426">
        <f t="shared" si="30"/>
        <v>0</v>
      </c>
      <c r="AP42" s="426">
        <f t="shared" si="31"/>
        <v>0</v>
      </c>
      <c r="AQ42" s="426">
        <f t="shared" si="32"/>
        <v>0</v>
      </c>
      <c r="AR42" s="426">
        <f t="shared" si="33"/>
        <v>0</v>
      </c>
      <c r="AS42" s="426">
        <f t="shared" si="34"/>
        <v>0</v>
      </c>
      <c r="AT42" s="426">
        <f t="shared" si="35"/>
        <v>0</v>
      </c>
      <c r="AU42" s="426">
        <f t="shared" si="36"/>
        <v>0</v>
      </c>
      <c r="AV42" s="426">
        <f t="shared" si="37"/>
        <v>0</v>
      </c>
      <c r="AW42" s="426">
        <f t="shared" si="38"/>
        <v>0</v>
      </c>
    </row>
    <row r="43" spans="1:49" s="421" customFormat="1" ht="12" customHeight="1">
      <c r="A43" s="73">
        <f t="array" ref="A43">IF(C43&lt;&gt;0,SUM(($C$11:C43&lt;&gt;0)*1),"")</f>
        <v>33</v>
      </c>
      <c r="B43" s="422">
        <v>41871</v>
      </c>
      <c r="C43" s="316" t="s">
        <v>8</v>
      </c>
      <c r="D43" s="316">
        <v>41871</v>
      </c>
      <c r="E43" s="424" t="s">
        <v>406</v>
      </c>
      <c r="F43" s="75">
        <v>50000000</v>
      </c>
      <c r="G43" s="432" t="s">
        <v>9</v>
      </c>
      <c r="H43" s="425" t="s">
        <v>34</v>
      </c>
      <c r="I43" s="73">
        <f t="shared" si="41"/>
        <v>33</v>
      </c>
      <c r="J43" s="426">
        <f t="shared" si="1"/>
        <v>0</v>
      </c>
      <c r="K43" s="426">
        <f t="shared" si="2"/>
        <v>0</v>
      </c>
      <c r="L43" s="426">
        <f t="shared" si="3"/>
        <v>0</v>
      </c>
      <c r="M43" s="426">
        <f t="shared" si="4"/>
        <v>50000000</v>
      </c>
      <c r="N43" s="426">
        <f t="shared" si="5"/>
        <v>0</v>
      </c>
      <c r="O43" s="426">
        <f t="shared" si="6"/>
        <v>0</v>
      </c>
      <c r="P43" s="426">
        <f t="shared" si="7"/>
        <v>0</v>
      </c>
      <c r="Q43" s="426">
        <f t="shared" si="8"/>
        <v>0</v>
      </c>
      <c r="R43" s="426">
        <f t="shared" si="39"/>
        <v>0</v>
      </c>
      <c r="S43" s="426">
        <f t="shared" si="40"/>
        <v>0</v>
      </c>
      <c r="T43" s="426">
        <f t="shared" si="9"/>
        <v>50000000</v>
      </c>
      <c r="U43" s="426">
        <f t="shared" si="10"/>
        <v>0</v>
      </c>
      <c r="V43" s="426">
        <f t="shared" si="11"/>
        <v>0</v>
      </c>
      <c r="W43" s="426">
        <f t="shared" si="12"/>
        <v>0</v>
      </c>
      <c r="X43" s="426">
        <f t="shared" si="13"/>
        <v>0</v>
      </c>
      <c r="Y43" s="426">
        <f t="shared" si="14"/>
        <v>0</v>
      </c>
      <c r="Z43" s="426">
        <f t="shared" si="15"/>
        <v>0</v>
      </c>
      <c r="AA43" s="426">
        <f t="shared" si="16"/>
        <v>0</v>
      </c>
      <c r="AB43" s="426">
        <f t="shared" si="17"/>
        <v>0</v>
      </c>
      <c r="AC43" s="426">
        <f t="shared" si="18"/>
        <v>0</v>
      </c>
      <c r="AD43" s="426">
        <f t="shared" si="19"/>
        <v>0</v>
      </c>
      <c r="AE43" s="426">
        <f t="shared" si="20"/>
        <v>0</v>
      </c>
      <c r="AF43" s="426">
        <f t="shared" si="21"/>
        <v>0</v>
      </c>
      <c r="AG43" s="426">
        <f t="shared" si="22"/>
        <v>0</v>
      </c>
      <c r="AH43" s="426">
        <f t="shared" si="23"/>
        <v>0</v>
      </c>
      <c r="AI43" s="426">
        <f t="shared" si="24"/>
        <v>0</v>
      </c>
      <c r="AJ43" s="426">
        <f t="shared" si="25"/>
        <v>0</v>
      </c>
      <c r="AK43" s="426">
        <f t="shared" si="26"/>
        <v>0</v>
      </c>
      <c r="AL43" s="426">
        <f t="shared" si="27"/>
        <v>0</v>
      </c>
      <c r="AM43" s="426">
        <f t="shared" si="28"/>
        <v>0</v>
      </c>
      <c r="AN43" s="426">
        <f t="shared" si="29"/>
        <v>0</v>
      </c>
      <c r="AO43" s="426">
        <f t="shared" si="30"/>
        <v>0</v>
      </c>
      <c r="AP43" s="426">
        <f t="shared" si="31"/>
        <v>0</v>
      </c>
      <c r="AQ43" s="426">
        <f t="shared" si="32"/>
        <v>0</v>
      </c>
      <c r="AR43" s="426">
        <f t="shared" si="33"/>
        <v>0</v>
      </c>
      <c r="AS43" s="426">
        <f t="shared" si="34"/>
        <v>0</v>
      </c>
      <c r="AT43" s="426">
        <f t="shared" si="35"/>
        <v>0</v>
      </c>
      <c r="AU43" s="426">
        <f t="shared" si="36"/>
        <v>0</v>
      </c>
      <c r="AV43" s="426">
        <f t="shared" si="37"/>
        <v>0</v>
      </c>
      <c r="AW43" s="426">
        <f t="shared" si="38"/>
        <v>0</v>
      </c>
    </row>
    <row r="44" spans="1:49" s="421" customFormat="1" ht="12" customHeight="1">
      <c r="A44" s="73">
        <f t="array" ref="A44">IF(C44&lt;&gt;0,SUM(($C$11:C44&lt;&gt;0)*1),"")</f>
        <v>34</v>
      </c>
      <c r="B44" s="422">
        <v>41871</v>
      </c>
      <c r="C44" s="316" t="s">
        <v>8</v>
      </c>
      <c r="D44" s="316">
        <v>41871</v>
      </c>
      <c r="E44" s="424" t="s">
        <v>21</v>
      </c>
      <c r="F44" s="75">
        <v>25000</v>
      </c>
      <c r="G44" s="432" t="s">
        <v>348</v>
      </c>
      <c r="H44" s="425" t="s">
        <v>34</v>
      </c>
      <c r="I44" s="73">
        <f t="shared" si="41"/>
        <v>34</v>
      </c>
      <c r="J44" s="426">
        <f t="shared" si="1"/>
        <v>0</v>
      </c>
      <c r="K44" s="426">
        <f t="shared" si="2"/>
        <v>0</v>
      </c>
      <c r="L44" s="426">
        <f t="shared" si="3"/>
        <v>0</v>
      </c>
      <c r="M44" s="426">
        <f t="shared" si="4"/>
        <v>25000</v>
      </c>
      <c r="N44" s="426">
        <f t="shared" si="5"/>
        <v>0</v>
      </c>
      <c r="O44" s="426">
        <f t="shared" si="6"/>
        <v>0</v>
      </c>
      <c r="P44" s="426">
        <f t="shared" si="7"/>
        <v>0</v>
      </c>
      <c r="Q44" s="426">
        <f t="shared" si="8"/>
        <v>0</v>
      </c>
      <c r="R44" s="426">
        <f t="shared" si="39"/>
        <v>0</v>
      </c>
      <c r="S44" s="426">
        <f t="shared" si="40"/>
        <v>0</v>
      </c>
      <c r="T44" s="426">
        <f t="shared" si="9"/>
        <v>0</v>
      </c>
      <c r="U44" s="426">
        <f t="shared" si="10"/>
        <v>0</v>
      </c>
      <c r="V44" s="426">
        <f t="shared" si="11"/>
        <v>0</v>
      </c>
      <c r="W44" s="426">
        <f t="shared" si="12"/>
        <v>0</v>
      </c>
      <c r="X44" s="426">
        <f t="shared" si="13"/>
        <v>0</v>
      </c>
      <c r="Y44" s="426">
        <f t="shared" si="14"/>
        <v>0</v>
      </c>
      <c r="Z44" s="426">
        <f t="shared" si="15"/>
        <v>0</v>
      </c>
      <c r="AA44" s="426">
        <f t="shared" si="16"/>
        <v>0</v>
      </c>
      <c r="AB44" s="426">
        <f t="shared" si="17"/>
        <v>0</v>
      </c>
      <c r="AC44" s="426">
        <f t="shared" si="18"/>
        <v>0</v>
      </c>
      <c r="AD44" s="426">
        <f t="shared" si="19"/>
        <v>0</v>
      </c>
      <c r="AE44" s="426">
        <f t="shared" si="20"/>
        <v>0</v>
      </c>
      <c r="AF44" s="426">
        <f t="shared" si="21"/>
        <v>0</v>
      </c>
      <c r="AG44" s="426">
        <f t="shared" si="22"/>
        <v>0</v>
      </c>
      <c r="AH44" s="426">
        <f t="shared" si="23"/>
        <v>0</v>
      </c>
      <c r="AI44" s="426">
        <f t="shared" si="24"/>
        <v>0</v>
      </c>
      <c r="AJ44" s="426">
        <f t="shared" si="25"/>
        <v>0</v>
      </c>
      <c r="AK44" s="426">
        <f t="shared" si="26"/>
        <v>0</v>
      </c>
      <c r="AL44" s="426">
        <f t="shared" si="27"/>
        <v>0</v>
      </c>
      <c r="AM44" s="426">
        <f t="shared" si="28"/>
        <v>0</v>
      </c>
      <c r="AN44" s="426">
        <f t="shared" si="29"/>
        <v>0</v>
      </c>
      <c r="AO44" s="426">
        <f t="shared" si="30"/>
        <v>0</v>
      </c>
      <c r="AP44" s="426">
        <f t="shared" si="31"/>
        <v>0</v>
      </c>
      <c r="AQ44" s="426">
        <f t="shared" si="32"/>
        <v>0</v>
      </c>
      <c r="AR44" s="426">
        <f t="shared" si="33"/>
        <v>0</v>
      </c>
      <c r="AS44" s="426">
        <f t="shared" si="34"/>
        <v>0</v>
      </c>
      <c r="AT44" s="426">
        <f t="shared" si="35"/>
        <v>0</v>
      </c>
      <c r="AU44" s="426">
        <f t="shared" si="36"/>
        <v>0</v>
      </c>
      <c r="AV44" s="426">
        <f t="shared" si="37"/>
        <v>0</v>
      </c>
      <c r="AW44" s="426">
        <f t="shared" si="38"/>
        <v>0</v>
      </c>
    </row>
    <row r="45" spans="1:49" s="421" customFormat="1" ht="12" customHeight="1">
      <c r="A45" s="73">
        <f t="array" ref="A45">IF(C45&lt;&gt;0,SUM(($C$11:C45&lt;&gt;0)*1),"")</f>
        <v>35</v>
      </c>
      <c r="B45" s="422">
        <v>41871</v>
      </c>
      <c r="C45" s="316" t="s">
        <v>8</v>
      </c>
      <c r="D45" s="316">
        <v>41871</v>
      </c>
      <c r="E45" s="424" t="s">
        <v>335</v>
      </c>
      <c r="F45" s="75">
        <v>2500</v>
      </c>
      <c r="G45" s="432" t="s">
        <v>10</v>
      </c>
      <c r="H45" s="425" t="s">
        <v>34</v>
      </c>
      <c r="I45" s="73">
        <f t="shared" si="41"/>
        <v>35</v>
      </c>
      <c r="J45" s="426">
        <f t="shared" si="1"/>
        <v>0</v>
      </c>
      <c r="K45" s="426">
        <f t="shared" si="2"/>
        <v>0</v>
      </c>
      <c r="L45" s="426">
        <f t="shared" si="3"/>
        <v>0</v>
      </c>
      <c r="M45" s="426">
        <f t="shared" si="4"/>
        <v>2500</v>
      </c>
      <c r="N45" s="426">
        <f t="shared" si="5"/>
        <v>2500</v>
      </c>
      <c r="O45" s="426">
        <f t="shared" si="6"/>
        <v>0</v>
      </c>
      <c r="P45" s="426">
        <f t="shared" si="7"/>
        <v>0</v>
      </c>
      <c r="Q45" s="426">
        <f t="shared" si="8"/>
        <v>0</v>
      </c>
      <c r="R45" s="426">
        <f t="shared" si="39"/>
        <v>0</v>
      </c>
      <c r="S45" s="426">
        <f t="shared" si="40"/>
        <v>0</v>
      </c>
      <c r="T45" s="426">
        <f t="shared" si="9"/>
        <v>0</v>
      </c>
      <c r="U45" s="426">
        <f t="shared" si="10"/>
        <v>0</v>
      </c>
      <c r="V45" s="426">
        <f t="shared" si="11"/>
        <v>0</v>
      </c>
      <c r="W45" s="426">
        <f t="shared" si="12"/>
        <v>0</v>
      </c>
      <c r="X45" s="426">
        <f t="shared" si="13"/>
        <v>0</v>
      </c>
      <c r="Y45" s="426">
        <f t="shared" si="14"/>
        <v>0</v>
      </c>
      <c r="Z45" s="426">
        <f t="shared" si="15"/>
        <v>0</v>
      </c>
      <c r="AA45" s="426">
        <f t="shared" si="16"/>
        <v>0</v>
      </c>
      <c r="AB45" s="426">
        <f t="shared" si="17"/>
        <v>0</v>
      </c>
      <c r="AC45" s="426">
        <f t="shared" si="18"/>
        <v>0</v>
      </c>
      <c r="AD45" s="426">
        <f t="shared" si="19"/>
        <v>0</v>
      </c>
      <c r="AE45" s="426">
        <f t="shared" si="20"/>
        <v>0</v>
      </c>
      <c r="AF45" s="426">
        <f t="shared" si="21"/>
        <v>0</v>
      </c>
      <c r="AG45" s="426">
        <f t="shared" si="22"/>
        <v>0</v>
      </c>
      <c r="AH45" s="426">
        <f t="shared" si="23"/>
        <v>0</v>
      </c>
      <c r="AI45" s="426">
        <f t="shared" si="24"/>
        <v>0</v>
      </c>
      <c r="AJ45" s="426">
        <f t="shared" si="25"/>
        <v>0</v>
      </c>
      <c r="AK45" s="426">
        <f t="shared" si="26"/>
        <v>0</v>
      </c>
      <c r="AL45" s="426">
        <f t="shared" si="27"/>
        <v>0</v>
      </c>
      <c r="AM45" s="426">
        <f t="shared" si="28"/>
        <v>0</v>
      </c>
      <c r="AN45" s="426">
        <f t="shared" si="29"/>
        <v>0</v>
      </c>
      <c r="AO45" s="426">
        <f t="shared" si="30"/>
        <v>0</v>
      </c>
      <c r="AP45" s="426">
        <f t="shared" si="31"/>
        <v>0</v>
      </c>
      <c r="AQ45" s="426">
        <f t="shared" si="32"/>
        <v>0</v>
      </c>
      <c r="AR45" s="426">
        <f t="shared" si="33"/>
        <v>0</v>
      </c>
      <c r="AS45" s="426">
        <f t="shared" si="34"/>
        <v>0</v>
      </c>
      <c r="AT45" s="426">
        <f t="shared" si="35"/>
        <v>0</v>
      </c>
      <c r="AU45" s="426">
        <f t="shared" si="36"/>
        <v>0</v>
      </c>
      <c r="AV45" s="426">
        <f t="shared" si="37"/>
        <v>0</v>
      </c>
      <c r="AW45" s="426">
        <f t="shared" si="38"/>
        <v>0</v>
      </c>
    </row>
    <row r="46" spans="1:49" s="421" customFormat="1" ht="12" customHeight="1">
      <c r="A46" s="73">
        <f t="array" ref="A46">IF(C46&lt;&gt;0,SUM(($C$11:C46&lt;&gt;0)*1),"")</f>
        <v>36</v>
      </c>
      <c r="B46" s="422">
        <v>41871</v>
      </c>
      <c r="C46" s="316" t="s">
        <v>8</v>
      </c>
      <c r="D46" s="316">
        <v>41871</v>
      </c>
      <c r="E46" s="424" t="s">
        <v>344</v>
      </c>
      <c r="F46" s="75">
        <v>378779940</v>
      </c>
      <c r="G46" s="432" t="s">
        <v>9</v>
      </c>
      <c r="H46" s="425" t="s">
        <v>34</v>
      </c>
      <c r="I46" s="73">
        <f t="shared" si="41"/>
        <v>36</v>
      </c>
      <c r="J46" s="426">
        <f t="shared" si="1"/>
        <v>0</v>
      </c>
      <c r="K46" s="426">
        <f t="shared" si="2"/>
        <v>0</v>
      </c>
      <c r="L46" s="426">
        <f t="shared" si="3"/>
        <v>0</v>
      </c>
      <c r="M46" s="426">
        <f t="shared" si="4"/>
        <v>378779940</v>
      </c>
      <c r="N46" s="426">
        <f t="shared" si="5"/>
        <v>0</v>
      </c>
      <c r="O46" s="426">
        <f t="shared" si="6"/>
        <v>0</v>
      </c>
      <c r="P46" s="426">
        <f t="shared" si="7"/>
        <v>0</v>
      </c>
      <c r="Q46" s="426">
        <f t="shared" si="8"/>
        <v>0</v>
      </c>
      <c r="R46" s="426">
        <f t="shared" si="39"/>
        <v>0</v>
      </c>
      <c r="S46" s="426">
        <f t="shared" si="40"/>
        <v>0</v>
      </c>
      <c r="T46" s="426">
        <f t="shared" si="9"/>
        <v>378779940</v>
      </c>
      <c r="U46" s="426">
        <f t="shared" si="10"/>
        <v>0</v>
      </c>
      <c r="V46" s="426">
        <f t="shared" si="11"/>
        <v>0</v>
      </c>
      <c r="W46" s="426">
        <f t="shared" si="12"/>
        <v>0</v>
      </c>
      <c r="X46" s="426">
        <f t="shared" si="13"/>
        <v>0</v>
      </c>
      <c r="Y46" s="426">
        <f t="shared" si="14"/>
        <v>0</v>
      </c>
      <c r="Z46" s="426">
        <f t="shared" si="15"/>
        <v>0</v>
      </c>
      <c r="AA46" s="426">
        <f t="shared" si="16"/>
        <v>0</v>
      </c>
      <c r="AB46" s="426">
        <f t="shared" si="17"/>
        <v>0</v>
      </c>
      <c r="AC46" s="426">
        <f t="shared" si="18"/>
        <v>0</v>
      </c>
      <c r="AD46" s="426">
        <f t="shared" si="19"/>
        <v>0</v>
      </c>
      <c r="AE46" s="426">
        <f t="shared" si="20"/>
        <v>0</v>
      </c>
      <c r="AF46" s="426">
        <f t="shared" si="21"/>
        <v>0</v>
      </c>
      <c r="AG46" s="426">
        <f t="shared" si="22"/>
        <v>0</v>
      </c>
      <c r="AH46" s="426">
        <f t="shared" si="23"/>
        <v>0</v>
      </c>
      <c r="AI46" s="426">
        <f t="shared" si="24"/>
        <v>0</v>
      </c>
      <c r="AJ46" s="426">
        <f t="shared" si="25"/>
        <v>0</v>
      </c>
      <c r="AK46" s="426">
        <f t="shared" si="26"/>
        <v>0</v>
      </c>
      <c r="AL46" s="426">
        <f t="shared" si="27"/>
        <v>0</v>
      </c>
      <c r="AM46" s="426">
        <f t="shared" si="28"/>
        <v>0</v>
      </c>
      <c r="AN46" s="426">
        <f t="shared" si="29"/>
        <v>0</v>
      </c>
      <c r="AO46" s="426">
        <f t="shared" si="30"/>
        <v>0</v>
      </c>
      <c r="AP46" s="426">
        <f t="shared" si="31"/>
        <v>0</v>
      </c>
      <c r="AQ46" s="426">
        <f t="shared" si="32"/>
        <v>0</v>
      </c>
      <c r="AR46" s="426">
        <f t="shared" si="33"/>
        <v>0</v>
      </c>
      <c r="AS46" s="426">
        <f t="shared" si="34"/>
        <v>0</v>
      </c>
      <c r="AT46" s="426">
        <f t="shared" si="35"/>
        <v>0</v>
      </c>
      <c r="AU46" s="426">
        <f t="shared" si="36"/>
        <v>0</v>
      </c>
      <c r="AV46" s="426">
        <f t="shared" si="37"/>
        <v>0</v>
      </c>
      <c r="AW46" s="426">
        <f t="shared" si="38"/>
        <v>0</v>
      </c>
    </row>
    <row r="47" spans="1:49" s="421" customFormat="1" ht="12" customHeight="1">
      <c r="A47" s="73">
        <f t="array" ref="A47">IF(C47&lt;&gt;0,SUM(($C$11:C47&lt;&gt;0)*1),"")</f>
        <v>37</v>
      </c>
      <c r="B47" s="422">
        <v>41871</v>
      </c>
      <c r="C47" s="316" t="s">
        <v>8</v>
      </c>
      <c r="D47" s="316">
        <v>41871</v>
      </c>
      <c r="E47" s="424" t="s">
        <v>21</v>
      </c>
      <c r="F47" s="75">
        <v>113634</v>
      </c>
      <c r="G47" s="432" t="s">
        <v>348</v>
      </c>
      <c r="H47" s="425" t="s">
        <v>34</v>
      </c>
      <c r="I47" s="73">
        <f t="shared" si="41"/>
        <v>37</v>
      </c>
      <c r="J47" s="426">
        <f t="shared" si="1"/>
        <v>0</v>
      </c>
      <c r="K47" s="426">
        <f t="shared" si="2"/>
        <v>0</v>
      </c>
      <c r="L47" s="426">
        <f t="shared" si="3"/>
        <v>0</v>
      </c>
      <c r="M47" s="426">
        <f t="shared" si="4"/>
        <v>113634</v>
      </c>
      <c r="N47" s="426">
        <f t="shared" si="5"/>
        <v>0</v>
      </c>
      <c r="O47" s="426">
        <f t="shared" si="6"/>
        <v>0</v>
      </c>
      <c r="P47" s="426">
        <f t="shared" si="7"/>
        <v>0</v>
      </c>
      <c r="Q47" s="426">
        <f t="shared" si="8"/>
        <v>0</v>
      </c>
      <c r="R47" s="426">
        <f t="shared" si="39"/>
        <v>0</v>
      </c>
      <c r="S47" s="426">
        <f t="shared" si="40"/>
        <v>0</v>
      </c>
      <c r="T47" s="426">
        <f t="shared" si="9"/>
        <v>0</v>
      </c>
      <c r="U47" s="426">
        <f t="shared" si="10"/>
        <v>0</v>
      </c>
      <c r="V47" s="426">
        <f t="shared" si="11"/>
        <v>0</v>
      </c>
      <c r="W47" s="426">
        <f t="shared" si="12"/>
        <v>0</v>
      </c>
      <c r="X47" s="426">
        <f t="shared" si="13"/>
        <v>0</v>
      </c>
      <c r="Y47" s="426">
        <f t="shared" si="14"/>
        <v>0</v>
      </c>
      <c r="Z47" s="426">
        <f t="shared" si="15"/>
        <v>0</v>
      </c>
      <c r="AA47" s="426">
        <f t="shared" si="16"/>
        <v>0</v>
      </c>
      <c r="AB47" s="426">
        <f t="shared" si="17"/>
        <v>0</v>
      </c>
      <c r="AC47" s="426">
        <f t="shared" si="18"/>
        <v>0</v>
      </c>
      <c r="AD47" s="426">
        <f t="shared" si="19"/>
        <v>0</v>
      </c>
      <c r="AE47" s="426">
        <f t="shared" si="20"/>
        <v>0</v>
      </c>
      <c r="AF47" s="426">
        <f t="shared" si="21"/>
        <v>0</v>
      </c>
      <c r="AG47" s="426">
        <f t="shared" si="22"/>
        <v>0</v>
      </c>
      <c r="AH47" s="426">
        <f t="shared" si="23"/>
        <v>0</v>
      </c>
      <c r="AI47" s="426">
        <f t="shared" si="24"/>
        <v>0</v>
      </c>
      <c r="AJ47" s="426">
        <f t="shared" si="25"/>
        <v>0</v>
      </c>
      <c r="AK47" s="426">
        <f t="shared" si="26"/>
        <v>0</v>
      </c>
      <c r="AL47" s="426">
        <f t="shared" si="27"/>
        <v>0</v>
      </c>
      <c r="AM47" s="426">
        <f t="shared" si="28"/>
        <v>0</v>
      </c>
      <c r="AN47" s="426">
        <f t="shared" si="29"/>
        <v>0</v>
      </c>
      <c r="AO47" s="426">
        <f t="shared" si="30"/>
        <v>0</v>
      </c>
      <c r="AP47" s="426">
        <f t="shared" si="31"/>
        <v>0</v>
      </c>
      <c r="AQ47" s="426">
        <f t="shared" si="32"/>
        <v>0</v>
      </c>
      <c r="AR47" s="426">
        <f t="shared" si="33"/>
        <v>0</v>
      </c>
      <c r="AS47" s="426">
        <f t="shared" si="34"/>
        <v>0</v>
      </c>
      <c r="AT47" s="426">
        <f t="shared" si="35"/>
        <v>0</v>
      </c>
      <c r="AU47" s="426">
        <f t="shared" si="36"/>
        <v>0</v>
      </c>
      <c r="AV47" s="426">
        <f t="shared" si="37"/>
        <v>0</v>
      </c>
      <c r="AW47" s="426">
        <f t="shared" si="38"/>
        <v>0</v>
      </c>
    </row>
    <row r="48" spans="1:49" s="421" customFormat="1" ht="12" customHeight="1">
      <c r="A48" s="73">
        <f t="array" ref="A48">IF(C48&lt;&gt;0,SUM(($C$11:C48&lt;&gt;0)*1),"")</f>
        <v>38</v>
      </c>
      <c r="B48" s="422">
        <v>41871</v>
      </c>
      <c r="C48" s="316" t="s">
        <v>8</v>
      </c>
      <c r="D48" s="316">
        <v>41871</v>
      </c>
      <c r="E48" s="424" t="s">
        <v>335</v>
      </c>
      <c r="F48" s="75">
        <v>11363</v>
      </c>
      <c r="G48" s="432" t="s">
        <v>10</v>
      </c>
      <c r="H48" s="425" t="s">
        <v>34</v>
      </c>
      <c r="I48" s="73">
        <f t="shared" si="41"/>
        <v>38</v>
      </c>
      <c r="J48" s="426">
        <f t="shared" si="1"/>
        <v>0</v>
      </c>
      <c r="K48" s="426">
        <f t="shared" si="2"/>
        <v>0</v>
      </c>
      <c r="L48" s="426">
        <f t="shared" si="3"/>
        <v>0</v>
      </c>
      <c r="M48" s="426">
        <f t="shared" si="4"/>
        <v>11363</v>
      </c>
      <c r="N48" s="426">
        <f t="shared" si="5"/>
        <v>11363</v>
      </c>
      <c r="O48" s="426">
        <f t="shared" si="6"/>
        <v>0</v>
      </c>
      <c r="P48" s="426">
        <f t="shared" si="7"/>
        <v>0</v>
      </c>
      <c r="Q48" s="426">
        <f t="shared" si="8"/>
        <v>0</v>
      </c>
      <c r="R48" s="426">
        <f t="shared" si="39"/>
        <v>0</v>
      </c>
      <c r="S48" s="426">
        <f t="shared" si="40"/>
        <v>0</v>
      </c>
      <c r="T48" s="426">
        <f t="shared" si="9"/>
        <v>0</v>
      </c>
      <c r="U48" s="426">
        <f t="shared" si="10"/>
        <v>0</v>
      </c>
      <c r="V48" s="426">
        <f t="shared" si="11"/>
        <v>0</v>
      </c>
      <c r="W48" s="426">
        <f t="shared" si="12"/>
        <v>0</v>
      </c>
      <c r="X48" s="426">
        <f t="shared" si="13"/>
        <v>0</v>
      </c>
      <c r="Y48" s="426">
        <f t="shared" si="14"/>
        <v>0</v>
      </c>
      <c r="Z48" s="426">
        <f t="shared" si="15"/>
        <v>0</v>
      </c>
      <c r="AA48" s="426">
        <f t="shared" si="16"/>
        <v>0</v>
      </c>
      <c r="AB48" s="426">
        <f t="shared" si="17"/>
        <v>0</v>
      </c>
      <c r="AC48" s="426">
        <f t="shared" si="18"/>
        <v>0</v>
      </c>
      <c r="AD48" s="426">
        <f t="shared" si="19"/>
        <v>0</v>
      </c>
      <c r="AE48" s="426">
        <f t="shared" si="20"/>
        <v>0</v>
      </c>
      <c r="AF48" s="426">
        <f t="shared" si="21"/>
        <v>0</v>
      </c>
      <c r="AG48" s="426">
        <f t="shared" si="22"/>
        <v>0</v>
      </c>
      <c r="AH48" s="426">
        <f t="shared" si="23"/>
        <v>0</v>
      </c>
      <c r="AI48" s="426">
        <f t="shared" si="24"/>
        <v>0</v>
      </c>
      <c r="AJ48" s="426">
        <f t="shared" si="25"/>
        <v>0</v>
      </c>
      <c r="AK48" s="426">
        <f t="shared" si="26"/>
        <v>0</v>
      </c>
      <c r="AL48" s="426">
        <f t="shared" si="27"/>
        <v>0</v>
      </c>
      <c r="AM48" s="426">
        <f t="shared" si="28"/>
        <v>0</v>
      </c>
      <c r="AN48" s="426">
        <f t="shared" si="29"/>
        <v>0</v>
      </c>
      <c r="AO48" s="426">
        <f t="shared" si="30"/>
        <v>0</v>
      </c>
      <c r="AP48" s="426">
        <f t="shared" si="31"/>
        <v>0</v>
      </c>
      <c r="AQ48" s="426">
        <f t="shared" si="32"/>
        <v>0</v>
      </c>
      <c r="AR48" s="426">
        <f t="shared" si="33"/>
        <v>0</v>
      </c>
      <c r="AS48" s="426">
        <f t="shared" si="34"/>
        <v>0</v>
      </c>
      <c r="AT48" s="426">
        <f t="shared" si="35"/>
        <v>0</v>
      </c>
      <c r="AU48" s="426">
        <f t="shared" si="36"/>
        <v>0</v>
      </c>
      <c r="AV48" s="426">
        <f t="shared" si="37"/>
        <v>0</v>
      </c>
      <c r="AW48" s="426">
        <f t="shared" si="38"/>
        <v>0</v>
      </c>
    </row>
    <row r="49" spans="1:49" s="421" customFormat="1" ht="12" customHeight="1">
      <c r="A49" s="73">
        <f t="array" ref="A49">IF(C49&lt;&gt;0,SUM(($C$11:C49&lt;&gt;0)*1),"")</f>
        <v>39</v>
      </c>
      <c r="B49" s="422">
        <v>41871</v>
      </c>
      <c r="C49" s="316" t="s">
        <v>8</v>
      </c>
      <c r="D49" s="316">
        <v>41871</v>
      </c>
      <c r="E49" s="424" t="s">
        <v>364</v>
      </c>
      <c r="F49" s="75">
        <v>40000</v>
      </c>
      <c r="G49" s="432" t="s">
        <v>348</v>
      </c>
      <c r="H49" s="425" t="s">
        <v>34</v>
      </c>
      <c r="I49" s="73">
        <f t="shared" si="41"/>
        <v>39</v>
      </c>
      <c r="J49" s="426">
        <f t="shared" si="1"/>
        <v>0</v>
      </c>
      <c r="K49" s="426">
        <f t="shared" si="2"/>
        <v>0</v>
      </c>
      <c r="L49" s="426">
        <f t="shared" si="3"/>
        <v>0</v>
      </c>
      <c r="M49" s="426">
        <f t="shared" si="4"/>
        <v>40000</v>
      </c>
      <c r="N49" s="426">
        <f t="shared" si="5"/>
        <v>0</v>
      </c>
      <c r="O49" s="426">
        <f t="shared" si="6"/>
        <v>0</v>
      </c>
      <c r="P49" s="426">
        <f t="shared" si="7"/>
        <v>0</v>
      </c>
      <c r="Q49" s="426">
        <f t="shared" si="8"/>
        <v>0</v>
      </c>
      <c r="R49" s="426">
        <f t="shared" si="39"/>
        <v>0</v>
      </c>
      <c r="S49" s="426">
        <f t="shared" si="40"/>
        <v>0</v>
      </c>
      <c r="T49" s="426">
        <f t="shared" si="9"/>
        <v>0</v>
      </c>
      <c r="U49" s="426">
        <f t="shared" si="10"/>
        <v>0</v>
      </c>
      <c r="V49" s="426">
        <f t="shared" si="11"/>
        <v>0</v>
      </c>
      <c r="W49" s="426">
        <f t="shared" si="12"/>
        <v>0</v>
      </c>
      <c r="X49" s="426">
        <f t="shared" si="13"/>
        <v>0</v>
      </c>
      <c r="Y49" s="426">
        <f t="shared" si="14"/>
        <v>0</v>
      </c>
      <c r="Z49" s="426">
        <f t="shared" si="15"/>
        <v>0</v>
      </c>
      <c r="AA49" s="426">
        <f t="shared" si="16"/>
        <v>0</v>
      </c>
      <c r="AB49" s="426">
        <f t="shared" si="17"/>
        <v>0</v>
      </c>
      <c r="AC49" s="426">
        <f t="shared" si="18"/>
        <v>0</v>
      </c>
      <c r="AD49" s="426">
        <f t="shared" si="19"/>
        <v>0</v>
      </c>
      <c r="AE49" s="426">
        <f t="shared" si="20"/>
        <v>0</v>
      </c>
      <c r="AF49" s="426">
        <f t="shared" si="21"/>
        <v>0</v>
      </c>
      <c r="AG49" s="426">
        <f t="shared" si="22"/>
        <v>0</v>
      </c>
      <c r="AH49" s="426">
        <f t="shared" si="23"/>
        <v>0</v>
      </c>
      <c r="AI49" s="426">
        <f t="shared" si="24"/>
        <v>0</v>
      </c>
      <c r="AJ49" s="426">
        <f t="shared" si="25"/>
        <v>0</v>
      </c>
      <c r="AK49" s="426">
        <f t="shared" si="26"/>
        <v>0</v>
      </c>
      <c r="AL49" s="426">
        <f t="shared" si="27"/>
        <v>0</v>
      </c>
      <c r="AM49" s="426">
        <f t="shared" si="28"/>
        <v>0</v>
      </c>
      <c r="AN49" s="426">
        <f t="shared" si="29"/>
        <v>0</v>
      </c>
      <c r="AO49" s="426">
        <f t="shared" si="30"/>
        <v>0</v>
      </c>
      <c r="AP49" s="426">
        <f t="shared" si="31"/>
        <v>0</v>
      </c>
      <c r="AQ49" s="426">
        <f t="shared" si="32"/>
        <v>0</v>
      </c>
      <c r="AR49" s="426">
        <f t="shared" si="33"/>
        <v>0</v>
      </c>
      <c r="AS49" s="426">
        <f t="shared" si="34"/>
        <v>0</v>
      </c>
      <c r="AT49" s="426">
        <f t="shared" si="35"/>
        <v>0</v>
      </c>
      <c r="AU49" s="426">
        <f t="shared" si="36"/>
        <v>0</v>
      </c>
      <c r="AV49" s="426">
        <f t="shared" si="37"/>
        <v>0</v>
      </c>
      <c r="AW49" s="426">
        <f t="shared" si="38"/>
        <v>0</v>
      </c>
    </row>
    <row r="50" spans="1:49" s="421" customFormat="1" ht="12" customHeight="1">
      <c r="A50" s="73">
        <f t="array" ref="A50">IF(C50&lt;&gt;0,SUM(($C$11:C50&lt;&gt;0)*1),"")</f>
        <v>40</v>
      </c>
      <c r="B50" s="422">
        <v>41871</v>
      </c>
      <c r="C50" s="316" t="s">
        <v>8</v>
      </c>
      <c r="D50" s="316">
        <v>41871</v>
      </c>
      <c r="E50" s="424" t="s">
        <v>407</v>
      </c>
      <c r="F50" s="75">
        <v>4000</v>
      </c>
      <c r="G50" s="432" t="s">
        <v>10</v>
      </c>
      <c r="H50" s="425" t="s">
        <v>34</v>
      </c>
      <c r="I50" s="73">
        <f t="shared" si="41"/>
        <v>40</v>
      </c>
      <c r="J50" s="426">
        <f t="shared" si="1"/>
        <v>0</v>
      </c>
      <c r="K50" s="426">
        <f t="shared" si="2"/>
        <v>0</v>
      </c>
      <c r="L50" s="426">
        <f t="shared" si="3"/>
        <v>0</v>
      </c>
      <c r="M50" s="426">
        <f t="shared" si="4"/>
        <v>4000</v>
      </c>
      <c r="N50" s="426">
        <f t="shared" si="5"/>
        <v>4000</v>
      </c>
      <c r="O50" s="426">
        <f t="shared" si="6"/>
        <v>0</v>
      </c>
      <c r="P50" s="426">
        <f t="shared" si="7"/>
        <v>0</v>
      </c>
      <c r="Q50" s="426">
        <f t="shared" si="8"/>
        <v>0</v>
      </c>
      <c r="R50" s="426">
        <f t="shared" si="39"/>
        <v>0</v>
      </c>
      <c r="S50" s="426">
        <f t="shared" si="40"/>
        <v>0</v>
      </c>
      <c r="T50" s="426">
        <f t="shared" si="9"/>
        <v>0</v>
      </c>
      <c r="U50" s="426">
        <f t="shared" si="10"/>
        <v>0</v>
      </c>
      <c r="V50" s="426">
        <f t="shared" si="11"/>
        <v>0</v>
      </c>
      <c r="W50" s="426">
        <f t="shared" si="12"/>
        <v>0</v>
      </c>
      <c r="X50" s="426">
        <f t="shared" si="13"/>
        <v>0</v>
      </c>
      <c r="Y50" s="426">
        <f t="shared" si="14"/>
        <v>0</v>
      </c>
      <c r="Z50" s="426">
        <f t="shared" si="15"/>
        <v>0</v>
      </c>
      <c r="AA50" s="426">
        <f t="shared" si="16"/>
        <v>0</v>
      </c>
      <c r="AB50" s="426">
        <f t="shared" si="17"/>
        <v>0</v>
      </c>
      <c r="AC50" s="426">
        <f t="shared" si="18"/>
        <v>0</v>
      </c>
      <c r="AD50" s="426">
        <f t="shared" si="19"/>
        <v>0</v>
      </c>
      <c r="AE50" s="426">
        <f t="shared" si="20"/>
        <v>0</v>
      </c>
      <c r="AF50" s="426">
        <f t="shared" si="21"/>
        <v>0</v>
      </c>
      <c r="AG50" s="426">
        <f t="shared" si="22"/>
        <v>0</v>
      </c>
      <c r="AH50" s="426">
        <f t="shared" si="23"/>
        <v>0</v>
      </c>
      <c r="AI50" s="426">
        <f t="shared" si="24"/>
        <v>0</v>
      </c>
      <c r="AJ50" s="426">
        <f t="shared" si="25"/>
        <v>0</v>
      </c>
      <c r="AK50" s="426">
        <f t="shared" si="26"/>
        <v>0</v>
      </c>
      <c r="AL50" s="426">
        <f t="shared" si="27"/>
        <v>0</v>
      </c>
      <c r="AM50" s="426">
        <f t="shared" si="28"/>
        <v>0</v>
      </c>
      <c r="AN50" s="426">
        <f t="shared" si="29"/>
        <v>0</v>
      </c>
      <c r="AO50" s="426">
        <f t="shared" si="30"/>
        <v>0</v>
      </c>
      <c r="AP50" s="426">
        <f t="shared" si="31"/>
        <v>0</v>
      </c>
      <c r="AQ50" s="426">
        <f t="shared" si="32"/>
        <v>0</v>
      </c>
      <c r="AR50" s="426">
        <f t="shared" si="33"/>
        <v>0</v>
      </c>
      <c r="AS50" s="426">
        <f t="shared" si="34"/>
        <v>0</v>
      </c>
      <c r="AT50" s="426">
        <f t="shared" si="35"/>
        <v>0</v>
      </c>
      <c r="AU50" s="426">
        <f t="shared" si="36"/>
        <v>0</v>
      </c>
      <c r="AV50" s="426">
        <f t="shared" si="37"/>
        <v>0</v>
      </c>
      <c r="AW50" s="426">
        <f t="shared" si="38"/>
        <v>0</v>
      </c>
    </row>
    <row r="51" spans="1:49" s="421" customFormat="1" ht="12" customHeight="1">
      <c r="A51" s="73">
        <f t="array" ref="A51">IF(C51&lt;&gt;0,SUM(($C$11:C51&lt;&gt;0)*1),"")</f>
        <v>41</v>
      </c>
      <c r="B51" s="422">
        <v>41872</v>
      </c>
      <c r="C51" s="316" t="s">
        <v>367</v>
      </c>
      <c r="D51" s="316">
        <v>41872</v>
      </c>
      <c r="E51" s="424" t="s">
        <v>408</v>
      </c>
      <c r="F51" s="75">
        <v>72727273</v>
      </c>
      <c r="G51" s="432" t="s">
        <v>248</v>
      </c>
      <c r="H51" s="425" t="s">
        <v>9</v>
      </c>
      <c r="I51" s="73">
        <f t="shared" si="41"/>
        <v>41</v>
      </c>
      <c r="J51" s="426">
        <f t="shared" si="1"/>
        <v>0</v>
      </c>
      <c r="K51" s="426">
        <f t="shared" si="2"/>
        <v>0</v>
      </c>
      <c r="L51" s="426">
        <f t="shared" si="3"/>
        <v>0</v>
      </c>
      <c r="M51" s="426">
        <f t="shared" si="4"/>
        <v>0</v>
      </c>
      <c r="N51" s="426">
        <f t="shared" si="5"/>
        <v>0</v>
      </c>
      <c r="O51" s="426">
        <f t="shared" si="6"/>
        <v>0</v>
      </c>
      <c r="P51" s="426">
        <f t="shared" si="7"/>
        <v>0</v>
      </c>
      <c r="Q51" s="426">
        <f t="shared" si="8"/>
        <v>0</v>
      </c>
      <c r="R51" s="426">
        <f t="shared" si="39"/>
        <v>72727273</v>
      </c>
      <c r="S51" s="426">
        <f t="shared" si="40"/>
        <v>0</v>
      </c>
      <c r="T51" s="426">
        <f t="shared" si="9"/>
        <v>0</v>
      </c>
      <c r="U51" s="426">
        <f t="shared" si="10"/>
        <v>72727273</v>
      </c>
      <c r="V51" s="426">
        <f t="shared" si="11"/>
        <v>0</v>
      </c>
      <c r="W51" s="426">
        <f t="shared" si="12"/>
        <v>0</v>
      </c>
      <c r="X51" s="426">
        <f t="shared" si="13"/>
        <v>0</v>
      </c>
      <c r="Y51" s="426">
        <f t="shared" si="14"/>
        <v>0</v>
      </c>
      <c r="Z51" s="426">
        <f t="shared" si="15"/>
        <v>0</v>
      </c>
      <c r="AA51" s="426">
        <f t="shared" si="16"/>
        <v>0</v>
      </c>
      <c r="AB51" s="426">
        <f t="shared" si="17"/>
        <v>0</v>
      </c>
      <c r="AC51" s="426">
        <f t="shared" si="18"/>
        <v>0</v>
      </c>
      <c r="AD51" s="426">
        <f t="shared" si="19"/>
        <v>0</v>
      </c>
      <c r="AE51" s="426">
        <f t="shared" si="20"/>
        <v>0</v>
      </c>
      <c r="AF51" s="426">
        <f t="shared" si="21"/>
        <v>0</v>
      </c>
      <c r="AG51" s="426">
        <f t="shared" si="22"/>
        <v>0</v>
      </c>
      <c r="AH51" s="426">
        <f t="shared" si="23"/>
        <v>0</v>
      </c>
      <c r="AI51" s="426">
        <f t="shared" si="24"/>
        <v>0</v>
      </c>
      <c r="AJ51" s="426">
        <f t="shared" si="25"/>
        <v>0</v>
      </c>
      <c r="AK51" s="426">
        <f t="shared" si="26"/>
        <v>0</v>
      </c>
      <c r="AL51" s="426">
        <f t="shared" si="27"/>
        <v>0</v>
      </c>
      <c r="AM51" s="426">
        <f t="shared" si="28"/>
        <v>0</v>
      </c>
      <c r="AN51" s="426">
        <f t="shared" si="29"/>
        <v>0</v>
      </c>
      <c r="AO51" s="426">
        <f t="shared" si="30"/>
        <v>0</v>
      </c>
      <c r="AP51" s="426">
        <f t="shared" si="31"/>
        <v>0</v>
      </c>
      <c r="AQ51" s="426">
        <f t="shared" si="32"/>
        <v>0</v>
      </c>
      <c r="AR51" s="426">
        <f t="shared" si="33"/>
        <v>0</v>
      </c>
      <c r="AS51" s="426">
        <f t="shared" si="34"/>
        <v>0</v>
      </c>
      <c r="AT51" s="426">
        <f t="shared" si="35"/>
        <v>0</v>
      </c>
      <c r="AU51" s="426">
        <f t="shared" si="36"/>
        <v>0</v>
      </c>
      <c r="AV51" s="426">
        <f t="shared" si="37"/>
        <v>0</v>
      </c>
      <c r="AW51" s="426">
        <f t="shared" si="38"/>
        <v>0</v>
      </c>
    </row>
    <row r="52" spans="1:49" s="421" customFormat="1" ht="12" customHeight="1">
      <c r="A52" s="73">
        <f t="array" ref="A52">IF(C52&lt;&gt;0,SUM(($C$11:C52&lt;&gt;0)*1),"")</f>
        <v>42</v>
      </c>
      <c r="B52" s="422">
        <v>41872</v>
      </c>
      <c r="C52" s="316" t="s">
        <v>367</v>
      </c>
      <c r="D52" s="316">
        <v>41872</v>
      </c>
      <c r="E52" s="424" t="s">
        <v>409</v>
      </c>
      <c r="F52" s="75">
        <v>7272727</v>
      </c>
      <c r="G52" s="432" t="s">
        <v>10</v>
      </c>
      <c r="H52" s="425" t="s">
        <v>9</v>
      </c>
      <c r="I52" s="73">
        <f t="shared" si="41"/>
        <v>42</v>
      </c>
      <c r="J52" s="426">
        <f t="shared" si="1"/>
        <v>0</v>
      </c>
      <c r="K52" s="426">
        <f t="shared" si="2"/>
        <v>0</v>
      </c>
      <c r="L52" s="426">
        <f t="shared" si="3"/>
        <v>0</v>
      </c>
      <c r="M52" s="426">
        <f t="shared" si="4"/>
        <v>0</v>
      </c>
      <c r="N52" s="426">
        <f t="shared" si="5"/>
        <v>7272727</v>
      </c>
      <c r="O52" s="426">
        <f t="shared" si="6"/>
        <v>0</v>
      </c>
      <c r="P52" s="426">
        <f t="shared" si="7"/>
        <v>0</v>
      </c>
      <c r="Q52" s="426">
        <f t="shared" si="8"/>
        <v>0</v>
      </c>
      <c r="R52" s="426">
        <f t="shared" si="39"/>
        <v>0</v>
      </c>
      <c r="S52" s="426">
        <f t="shared" si="40"/>
        <v>0</v>
      </c>
      <c r="T52" s="426">
        <f t="shared" si="9"/>
        <v>0</v>
      </c>
      <c r="U52" s="426">
        <f t="shared" si="10"/>
        <v>7272727</v>
      </c>
      <c r="V52" s="426">
        <f t="shared" si="11"/>
        <v>0</v>
      </c>
      <c r="W52" s="426">
        <f t="shared" si="12"/>
        <v>0</v>
      </c>
      <c r="X52" s="426">
        <f t="shared" si="13"/>
        <v>0</v>
      </c>
      <c r="Y52" s="426">
        <f t="shared" si="14"/>
        <v>0</v>
      </c>
      <c r="Z52" s="426">
        <f t="shared" si="15"/>
        <v>0</v>
      </c>
      <c r="AA52" s="426">
        <f t="shared" si="16"/>
        <v>0</v>
      </c>
      <c r="AB52" s="426">
        <f t="shared" si="17"/>
        <v>0</v>
      </c>
      <c r="AC52" s="426">
        <f t="shared" si="18"/>
        <v>0</v>
      </c>
      <c r="AD52" s="426">
        <f t="shared" si="19"/>
        <v>0</v>
      </c>
      <c r="AE52" s="426">
        <f t="shared" si="20"/>
        <v>0</v>
      </c>
      <c r="AF52" s="426">
        <f t="shared" si="21"/>
        <v>0</v>
      </c>
      <c r="AG52" s="426">
        <f t="shared" si="22"/>
        <v>0</v>
      </c>
      <c r="AH52" s="426">
        <f t="shared" si="23"/>
        <v>0</v>
      </c>
      <c r="AI52" s="426">
        <f t="shared" si="24"/>
        <v>0</v>
      </c>
      <c r="AJ52" s="426">
        <f t="shared" si="25"/>
        <v>0</v>
      </c>
      <c r="AK52" s="426">
        <f t="shared" si="26"/>
        <v>0</v>
      </c>
      <c r="AL52" s="426">
        <f t="shared" si="27"/>
        <v>0</v>
      </c>
      <c r="AM52" s="426">
        <f t="shared" si="28"/>
        <v>0</v>
      </c>
      <c r="AN52" s="426">
        <f t="shared" si="29"/>
        <v>0</v>
      </c>
      <c r="AO52" s="426">
        <f t="shared" si="30"/>
        <v>0</v>
      </c>
      <c r="AP52" s="426">
        <f t="shared" si="31"/>
        <v>0</v>
      </c>
      <c r="AQ52" s="426">
        <f t="shared" si="32"/>
        <v>0</v>
      </c>
      <c r="AR52" s="426">
        <f t="shared" si="33"/>
        <v>0</v>
      </c>
      <c r="AS52" s="426">
        <f t="shared" si="34"/>
        <v>0</v>
      </c>
      <c r="AT52" s="426">
        <f t="shared" si="35"/>
        <v>0</v>
      </c>
      <c r="AU52" s="426">
        <f t="shared" si="36"/>
        <v>0</v>
      </c>
      <c r="AV52" s="426">
        <f t="shared" si="37"/>
        <v>0</v>
      </c>
      <c r="AW52" s="426">
        <f t="shared" si="38"/>
        <v>0</v>
      </c>
    </row>
    <row r="53" spans="1:49" s="421" customFormat="1" ht="12" customHeight="1">
      <c r="A53" s="73">
        <f t="array" ref="A53">IF(C53&lt;&gt;0,SUM(($C$11:C53&lt;&gt;0)*1),"")</f>
        <v>43</v>
      </c>
      <c r="B53" s="422">
        <v>41876</v>
      </c>
      <c r="C53" s="316" t="s">
        <v>11</v>
      </c>
      <c r="D53" s="316">
        <v>41876</v>
      </c>
      <c r="E53" s="424" t="s">
        <v>66</v>
      </c>
      <c r="F53" s="75">
        <v>38769</v>
      </c>
      <c r="G53" s="432" t="s">
        <v>34</v>
      </c>
      <c r="H53" s="425" t="s">
        <v>67</v>
      </c>
      <c r="I53" s="73">
        <f t="shared" si="41"/>
        <v>43</v>
      </c>
      <c r="J53" s="426">
        <f t="shared" si="1"/>
        <v>0</v>
      </c>
      <c r="K53" s="426">
        <f t="shared" si="2"/>
        <v>0</v>
      </c>
      <c r="L53" s="426">
        <f t="shared" si="3"/>
        <v>38769</v>
      </c>
      <c r="M53" s="426">
        <f t="shared" si="4"/>
        <v>0</v>
      </c>
      <c r="N53" s="426">
        <f t="shared" si="5"/>
        <v>0</v>
      </c>
      <c r="O53" s="426">
        <f t="shared" si="6"/>
        <v>0</v>
      </c>
      <c r="P53" s="426">
        <f t="shared" si="7"/>
        <v>0</v>
      </c>
      <c r="Q53" s="426">
        <f t="shared" si="8"/>
        <v>0</v>
      </c>
      <c r="R53" s="426">
        <f t="shared" si="39"/>
        <v>0</v>
      </c>
      <c r="S53" s="426">
        <f t="shared" si="40"/>
        <v>0</v>
      </c>
      <c r="T53" s="426">
        <f t="shared" si="9"/>
        <v>0</v>
      </c>
      <c r="U53" s="426">
        <f t="shared" si="10"/>
        <v>0</v>
      </c>
      <c r="V53" s="426">
        <f t="shared" si="11"/>
        <v>0</v>
      </c>
      <c r="W53" s="426">
        <f t="shared" si="12"/>
        <v>0</v>
      </c>
      <c r="X53" s="426">
        <f t="shared" si="13"/>
        <v>0</v>
      </c>
      <c r="Y53" s="426">
        <f t="shared" si="14"/>
        <v>0</v>
      </c>
      <c r="Z53" s="426">
        <f t="shared" si="15"/>
        <v>0</v>
      </c>
      <c r="AA53" s="426">
        <f t="shared" si="16"/>
        <v>0</v>
      </c>
      <c r="AB53" s="426">
        <f t="shared" si="17"/>
        <v>0</v>
      </c>
      <c r="AC53" s="426">
        <f t="shared" si="18"/>
        <v>0</v>
      </c>
      <c r="AD53" s="426">
        <f t="shared" si="19"/>
        <v>0</v>
      </c>
      <c r="AE53" s="426">
        <f t="shared" si="20"/>
        <v>0</v>
      </c>
      <c r="AF53" s="426">
        <f t="shared" si="21"/>
        <v>0</v>
      </c>
      <c r="AG53" s="426">
        <f t="shared" si="22"/>
        <v>0</v>
      </c>
      <c r="AH53" s="426">
        <f t="shared" si="23"/>
        <v>0</v>
      </c>
      <c r="AI53" s="426">
        <f t="shared" si="24"/>
        <v>0</v>
      </c>
      <c r="AJ53" s="426">
        <f t="shared" si="25"/>
        <v>0</v>
      </c>
      <c r="AK53" s="426">
        <f t="shared" si="26"/>
        <v>38769</v>
      </c>
      <c r="AL53" s="426">
        <f t="shared" si="27"/>
        <v>0</v>
      </c>
      <c r="AM53" s="426">
        <f t="shared" si="28"/>
        <v>0</v>
      </c>
      <c r="AN53" s="426">
        <f t="shared" si="29"/>
        <v>0</v>
      </c>
      <c r="AO53" s="426">
        <f t="shared" si="30"/>
        <v>0</v>
      </c>
      <c r="AP53" s="426">
        <f t="shared" si="31"/>
        <v>0</v>
      </c>
      <c r="AQ53" s="426">
        <f t="shared" si="32"/>
        <v>0</v>
      </c>
      <c r="AR53" s="426">
        <f t="shared" si="33"/>
        <v>0</v>
      </c>
      <c r="AS53" s="426">
        <f t="shared" si="34"/>
        <v>0</v>
      </c>
      <c r="AT53" s="426">
        <f t="shared" si="35"/>
        <v>0</v>
      </c>
      <c r="AU53" s="426">
        <f t="shared" si="36"/>
        <v>0</v>
      </c>
      <c r="AV53" s="426">
        <f t="shared" si="37"/>
        <v>0</v>
      </c>
      <c r="AW53" s="426">
        <f t="shared" si="38"/>
        <v>0</v>
      </c>
    </row>
    <row r="54" spans="1:49" s="421" customFormat="1" ht="12" customHeight="1">
      <c r="A54" s="73">
        <f t="array" ref="A54">IF(C54&lt;&gt;0,SUM(($C$11:C54&lt;&gt;0)*1),"")</f>
        <v>44</v>
      </c>
      <c r="B54" s="422">
        <v>41877</v>
      </c>
      <c r="C54" s="316" t="s">
        <v>370</v>
      </c>
      <c r="D54" s="316">
        <v>41877</v>
      </c>
      <c r="E54" s="424" t="s">
        <v>410</v>
      </c>
      <c r="F54" s="75">
        <v>1443034000</v>
      </c>
      <c r="G54" s="432" t="s">
        <v>248</v>
      </c>
      <c r="H54" s="425" t="s">
        <v>9</v>
      </c>
      <c r="I54" s="73">
        <f t="shared" si="41"/>
        <v>44</v>
      </c>
      <c r="J54" s="426">
        <f t="shared" si="1"/>
        <v>0</v>
      </c>
      <c r="K54" s="426">
        <f t="shared" si="2"/>
        <v>0</v>
      </c>
      <c r="L54" s="426">
        <f t="shared" si="3"/>
        <v>0</v>
      </c>
      <c r="M54" s="426">
        <f t="shared" si="4"/>
        <v>0</v>
      </c>
      <c r="N54" s="426">
        <f t="shared" si="5"/>
        <v>0</v>
      </c>
      <c r="O54" s="426">
        <f t="shared" si="6"/>
        <v>0</v>
      </c>
      <c r="P54" s="426">
        <f t="shared" si="7"/>
        <v>0</v>
      </c>
      <c r="Q54" s="426">
        <f t="shared" si="8"/>
        <v>0</v>
      </c>
      <c r="R54" s="426">
        <f t="shared" si="39"/>
        <v>1443034000</v>
      </c>
      <c r="S54" s="426">
        <f t="shared" si="40"/>
        <v>0</v>
      </c>
      <c r="T54" s="426">
        <f t="shared" si="9"/>
        <v>0</v>
      </c>
      <c r="U54" s="426">
        <f t="shared" si="10"/>
        <v>1443034000</v>
      </c>
      <c r="V54" s="426">
        <f t="shared" si="11"/>
        <v>0</v>
      </c>
      <c r="W54" s="426">
        <f t="shared" si="12"/>
        <v>0</v>
      </c>
      <c r="X54" s="426">
        <f t="shared" si="13"/>
        <v>0</v>
      </c>
      <c r="Y54" s="426">
        <f t="shared" si="14"/>
        <v>0</v>
      </c>
      <c r="Z54" s="426">
        <f t="shared" si="15"/>
        <v>0</v>
      </c>
      <c r="AA54" s="426">
        <f t="shared" si="16"/>
        <v>0</v>
      </c>
      <c r="AB54" s="426">
        <f t="shared" si="17"/>
        <v>0</v>
      </c>
      <c r="AC54" s="426">
        <f t="shared" si="18"/>
        <v>0</v>
      </c>
      <c r="AD54" s="426">
        <f t="shared" si="19"/>
        <v>0</v>
      </c>
      <c r="AE54" s="426">
        <f t="shared" si="20"/>
        <v>0</v>
      </c>
      <c r="AF54" s="426">
        <f t="shared" si="21"/>
        <v>0</v>
      </c>
      <c r="AG54" s="426">
        <f t="shared" si="22"/>
        <v>0</v>
      </c>
      <c r="AH54" s="426">
        <f t="shared" si="23"/>
        <v>0</v>
      </c>
      <c r="AI54" s="426">
        <f t="shared" si="24"/>
        <v>0</v>
      </c>
      <c r="AJ54" s="426">
        <f t="shared" si="25"/>
        <v>0</v>
      </c>
      <c r="AK54" s="426">
        <f t="shared" si="26"/>
        <v>0</v>
      </c>
      <c r="AL54" s="426">
        <f t="shared" si="27"/>
        <v>0</v>
      </c>
      <c r="AM54" s="426">
        <f t="shared" si="28"/>
        <v>0</v>
      </c>
      <c r="AN54" s="426">
        <f t="shared" si="29"/>
        <v>0</v>
      </c>
      <c r="AO54" s="426">
        <f t="shared" si="30"/>
        <v>0</v>
      </c>
      <c r="AP54" s="426">
        <f t="shared" si="31"/>
        <v>0</v>
      </c>
      <c r="AQ54" s="426">
        <f t="shared" si="32"/>
        <v>0</v>
      </c>
      <c r="AR54" s="426">
        <f t="shared" si="33"/>
        <v>0</v>
      </c>
      <c r="AS54" s="426">
        <f t="shared" si="34"/>
        <v>0</v>
      </c>
      <c r="AT54" s="426">
        <f t="shared" si="35"/>
        <v>0</v>
      </c>
      <c r="AU54" s="426">
        <f t="shared" si="36"/>
        <v>0</v>
      </c>
      <c r="AV54" s="426">
        <f t="shared" si="37"/>
        <v>0</v>
      </c>
      <c r="AW54" s="426">
        <f t="shared" si="38"/>
        <v>0</v>
      </c>
    </row>
    <row r="55" spans="1:49" s="421" customFormat="1" ht="12" customHeight="1">
      <c r="A55" s="73">
        <f t="array" ref="A55">IF(C55&lt;&gt;0,SUM(($C$11:C55&lt;&gt;0)*1),"")</f>
        <v>45</v>
      </c>
      <c r="B55" s="422">
        <v>41877</v>
      </c>
      <c r="C55" s="316" t="s">
        <v>370</v>
      </c>
      <c r="D55" s="316">
        <v>41877</v>
      </c>
      <c r="E55" s="424" t="s">
        <v>411</v>
      </c>
      <c r="F55" s="75">
        <v>144303400</v>
      </c>
      <c r="G55" s="432" t="s">
        <v>10</v>
      </c>
      <c r="H55" s="425" t="s">
        <v>9</v>
      </c>
      <c r="I55" s="73">
        <f t="shared" si="41"/>
        <v>45</v>
      </c>
      <c r="J55" s="426">
        <f t="shared" si="1"/>
        <v>0</v>
      </c>
      <c r="K55" s="426">
        <f t="shared" si="2"/>
        <v>0</v>
      </c>
      <c r="L55" s="426">
        <f t="shared" si="3"/>
        <v>0</v>
      </c>
      <c r="M55" s="426">
        <f t="shared" si="4"/>
        <v>0</v>
      </c>
      <c r="N55" s="426">
        <f t="shared" si="5"/>
        <v>144303400</v>
      </c>
      <c r="O55" s="426">
        <f t="shared" si="6"/>
        <v>0</v>
      </c>
      <c r="P55" s="426">
        <f t="shared" si="7"/>
        <v>0</v>
      </c>
      <c r="Q55" s="426">
        <f t="shared" si="8"/>
        <v>0</v>
      </c>
      <c r="R55" s="426">
        <f t="shared" si="39"/>
        <v>0</v>
      </c>
      <c r="S55" s="426">
        <f t="shared" si="40"/>
        <v>0</v>
      </c>
      <c r="T55" s="426">
        <f t="shared" si="9"/>
        <v>0</v>
      </c>
      <c r="U55" s="426">
        <f t="shared" si="10"/>
        <v>144303400</v>
      </c>
      <c r="V55" s="426">
        <f t="shared" si="11"/>
        <v>0</v>
      </c>
      <c r="W55" s="426">
        <f t="shared" si="12"/>
        <v>0</v>
      </c>
      <c r="X55" s="426">
        <f t="shared" si="13"/>
        <v>0</v>
      </c>
      <c r="Y55" s="426">
        <f t="shared" si="14"/>
        <v>0</v>
      </c>
      <c r="Z55" s="426">
        <f t="shared" si="15"/>
        <v>0</v>
      </c>
      <c r="AA55" s="426">
        <f t="shared" si="16"/>
        <v>0</v>
      </c>
      <c r="AB55" s="426">
        <f t="shared" si="17"/>
        <v>0</v>
      </c>
      <c r="AC55" s="426">
        <f t="shared" si="18"/>
        <v>0</v>
      </c>
      <c r="AD55" s="426">
        <f t="shared" si="19"/>
        <v>0</v>
      </c>
      <c r="AE55" s="426">
        <f t="shared" si="20"/>
        <v>0</v>
      </c>
      <c r="AF55" s="426">
        <f t="shared" si="21"/>
        <v>0</v>
      </c>
      <c r="AG55" s="426">
        <f t="shared" si="22"/>
        <v>0</v>
      </c>
      <c r="AH55" s="426">
        <f t="shared" si="23"/>
        <v>0</v>
      </c>
      <c r="AI55" s="426">
        <f t="shared" si="24"/>
        <v>0</v>
      </c>
      <c r="AJ55" s="426">
        <f t="shared" si="25"/>
        <v>0</v>
      </c>
      <c r="AK55" s="426">
        <f t="shared" si="26"/>
        <v>0</v>
      </c>
      <c r="AL55" s="426">
        <f t="shared" si="27"/>
        <v>0</v>
      </c>
      <c r="AM55" s="426">
        <f t="shared" si="28"/>
        <v>0</v>
      </c>
      <c r="AN55" s="426">
        <f t="shared" si="29"/>
        <v>0</v>
      </c>
      <c r="AO55" s="426">
        <f t="shared" si="30"/>
        <v>0</v>
      </c>
      <c r="AP55" s="426">
        <f t="shared" si="31"/>
        <v>0</v>
      </c>
      <c r="AQ55" s="426">
        <f t="shared" si="32"/>
        <v>0</v>
      </c>
      <c r="AR55" s="426">
        <f t="shared" si="33"/>
        <v>0</v>
      </c>
      <c r="AS55" s="426">
        <f t="shared" si="34"/>
        <v>0</v>
      </c>
      <c r="AT55" s="426">
        <f t="shared" si="35"/>
        <v>0</v>
      </c>
      <c r="AU55" s="426">
        <f t="shared" si="36"/>
        <v>0</v>
      </c>
      <c r="AV55" s="426">
        <f t="shared" si="37"/>
        <v>0</v>
      </c>
      <c r="AW55" s="426">
        <f t="shared" si="38"/>
        <v>0</v>
      </c>
    </row>
    <row r="56" spans="1:49" s="421" customFormat="1" ht="12" customHeight="1">
      <c r="A56" s="73">
        <f t="array" ref="A56">IF(C56&lt;&gt;0,SUM(($C$11:C56&lt;&gt;0)*1),"")</f>
        <v>46</v>
      </c>
      <c r="B56" s="422">
        <v>41894</v>
      </c>
      <c r="C56" s="316" t="s">
        <v>8</v>
      </c>
      <c r="D56" s="316">
        <v>41894</v>
      </c>
      <c r="E56" s="424" t="s">
        <v>343</v>
      </c>
      <c r="F56" s="75">
        <v>50000000</v>
      </c>
      <c r="G56" s="432" t="s">
        <v>9</v>
      </c>
      <c r="H56" s="425" t="s">
        <v>34</v>
      </c>
      <c r="I56" s="73">
        <f t="shared" si="41"/>
        <v>46</v>
      </c>
      <c r="J56" s="426">
        <f t="shared" si="1"/>
        <v>0</v>
      </c>
      <c r="K56" s="426">
        <f t="shared" si="2"/>
        <v>0</v>
      </c>
      <c r="L56" s="426">
        <f t="shared" si="3"/>
        <v>0</v>
      </c>
      <c r="M56" s="426">
        <f t="shared" si="4"/>
        <v>50000000</v>
      </c>
      <c r="N56" s="426">
        <f t="shared" si="5"/>
        <v>0</v>
      </c>
      <c r="O56" s="426">
        <f t="shared" si="6"/>
        <v>0</v>
      </c>
      <c r="P56" s="426">
        <f t="shared" si="7"/>
        <v>0</v>
      </c>
      <c r="Q56" s="426">
        <f t="shared" si="8"/>
        <v>0</v>
      </c>
      <c r="R56" s="426">
        <f t="shared" si="39"/>
        <v>0</v>
      </c>
      <c r="S56" s="426">
        <f t="shared" si="40"/>
        <v>0</v>
      </c>
      <c r="T56" s="426">
        <f t="shared" si="9"/>
        <v>50000000</v>
      </c>
      <c r="U56" s="426">
        <f t="shared" si="10"/>
        <v>0</v>
      </c>
      <c r="V56" s="426">
        <f t="shared" si="11"/>
        <v>0</v>
      </c>
      <c r="W56" s="426">
        <f t="shared" si="12"/>
        <v>0</v>
      </c>
      <c r="X56" s="426">
        <f t="shared" si="13"/>
        <v>0</v>
      </c>
      <c r="Y56" s="426">
        <f t="shared" si="14"/>
        <v>0</v>
      </c>
      <c r="Z56" s="426">
        <f t="shared" si="15"/>
        <v>0</v>
      </c>
      <c r="AA56" s="426">
        <f t="shared" si="16"/>
        <v>0</v>
      </c>
      <c r="AB56" s="426">
        <f t="shared" si="17"/>
        <v>0</v>
      </c>
      <c r="AC56" s="426">
        <f t="shared" si="18"/>
        <v>0</v>
      </c>
      <c r="AD56" s="426">
        <f t="shared" si="19"/>
        <v>0</v>
      </c>
      <c r="AE56" s="426">
        <f t="shared" si="20"/>
        <v>0</v>
      </c>
      <c r="AF56" s="426">
        <f t="shared" si="21"/>
        <v>0</v>
      </c>
      <c r="AG56" s="426">
        <f t="shared" si="22"/>
        <v>0</v>
      </c>
      <c r="AH56" s="426">
        <f t="shared" si="23"/>
        <v>0</v>
      </c>
      <c r="AI56" s="426">
        <f t="shared" si="24"/>
        <v>0</v>
      </c>
      <c r="AJ56" s="426">
        <f t="shared" si="25"/>
        <v>0</v>
      </c>
      <c r="AK56" s="426">
        <f t="shared" si="26"/>
        <v>0</v>
      </c>
      <c r="AL56" s="426">
        <f t="shared" si="27"/>
        <v>0</v>
      </c>
      <c r="AM56" s="426">
        <f t="shared" si="28"/>
        <v>0</v>
      </c>
      <c r="AN56" s="426">
        <f t="shared" si="29"/>
        <v>0</v>
      </c>
      <c r="AO56" s="426">
        <f t="shared" si="30"/>
        <v>0</v>
      </c>
      <c r="AP56" s="426">
        <f t="shared" si="31"/>
        <v>0</v>
      </c>
      <c r="AQ56" s="426">
        <f t="shared" si="32"/>
        <v>0</v>
      </c>
      <c r="AR56" s="426">
        <f t="shared" si="33"/>
        <v>0</v>
      </c>
      <c r="AS56" s="426">
        <f t="shared" si="34"/>
        <v>0</v>
      </c>
      <c r="AT56" s="426">
        <f t="shared" si="35"/>
        <v>0</v>
      </c>
      <c r="AU56" s="426">
        <f t="shared" si="36"/>
        <v>0</v>
      </c>
      <c r="AV56" s="426">
        <f t="shared" si="37"/>
        <v>0</v>
      </c>
      <c r="AW56" s="426">
        <f t="shared" si="38"/>
        <v>0</v>
      </c>
    </row>
    <row r="57" spans="1:49" s="421" customFormat="1" ht="12" customHeight="1">
      <c r="A57" s="73">
        <f t="array" ref="A57">IF(C57&lt;&gt;0,SUM(($C$11:C57&lt;&gt;0)*1),"")</f>
        <v>47</v>
      </c>
      <c r="B57" s="422">
        <v>41894</v>
      </c>
      <c r="C57" s="316" t="s">
        <v>8</v>
      </c>
      <c r="D57" s="316">
        <v>41894</v>
      </c>
      <c r="E57" s="424" t="s">
        <v>21</v>
      </c>
      <c r="F57" s="75">
        <v>25000</v>
      </c>
      <c r="G57" s="432" t="s">
        <v>348</v>
      </c>
      <c r="H57" s="425" t="s">
        <v>34</v>
      </c>
      <c r="I57" s="73">
        <f t="shared" si="41"/>
        <v>47</v>
      </c>
      <c r="J57" s="426">
        <f t="shared" si="1"/>
        <v>0</v>
      </c>
      <c r="K57" s="426">
        <f t="shared" si="2"/>
        <v>0</v>
      </c>
      <c r="L57" s="426">
        <f t="shared" si="3"/>
        <v>0</v>
      </c>
      <c r="M57" s="426">
        <f t="shared" si="4"/>
        <v>25000</v>
      </c>
      <c r="N57" s="426">
        <f t="shared" si="5"/>
        <v>0</v>
      </c>
      <c r="O57" s="426">
        <f t="shared" si="6"/>
        <v>0</v>
      </c>
      <c r="P57" s="426">
        <f t="shared" si="7"/>
        <v>0</v>
      </c>
      <c r="Q57" s="426">
        <f t="shared" si="8"/>
        <v>0</v>
      </c>
      <c r="R57" s="426">
        <f t="shared" si="39"/>
        <v>0</v>
      </c>
      <c r="S57" s="426">
        <f t="shared" si="40"/>
        <v>0</v>
      </c>
      <c r="T57" s="426">
        <f t="shared" si="9"/>
        <v>0</v>
      </c>
      <c r="U57" s="426">
        <f t="shared" si="10"/>
        <v>0</v>
      </c>
      <c r="V57" s="426">
        <f t="shared" si="11"/>
        <v>0</v>
      </c>
      <c r="W57" s="426">
        <f t="shared" si="12"/>
        <v>0</v>
      </c>
      <c r="X57" s="426">
        <f t="shared" si="13"/>
        <v>0</v>
      </c>
      <c r="Y57" s="426">
        <f t="shared" si="14"/>
        <v>0</v>
      </c>
      <c r="Z57" s="426">
        <f t="shared" si="15"/>
        <v>0</v>
      </c>
      <c r="AA57" s="426">
        <f t="shared" si="16"/>
        <v>0</v>
      </c>
      <c r="AB57" s="426">
        <f t="shared" si="17"/>
        <v>0</v>
      </c>
      <c r="AC57" s="426">
        <f t="shared" si="18"/>
        <v>0</v>
      </c>
      <c r="AD57" s="426">
        <f t="shared" si="19"/>
        <v>0</v>
      </c>
      <c r="AE57" s="426">
        <f t="shared" si="20"/>
        <v>0</v>
      </c>
      <c r="AF57" s="426">
        <f t="shared" si="21"/>
        <v>0</v>
      </c>
      <c r="AG57" s="426">
        <f t="shared" si="22"/>
        <v>0</v>
      </c>
      <c r="AH57" s="426">
        <f t="shared" si="23"/>
        <v>0</v>
      </c>
      <c r="AI57" s="426">
        <f t="shared" si="24"/>
        <v>0</v>
      </c>
      <c r="AJ57" s="426">
        <f t="shared" si="25"/>
        <v>0</v>
      </c>
      <c r="AK57" s="426">
        <f t="shared" si="26"/>
        <v>0</v>
      </c>
      <c r="AL57" s="426">
        <f t="shared" si="27"/>
        <v>0</v>
      </c>
      <c r="AM57" s="426">
        <f t="shared" si="28"/>
        <v>0</v>
      </c>
      <c r="AN57" s="426">
        <f t="shared" si="29"/>
        <v>0</v>
      </c>
      <c r="AO57" s="426">
        <f t="shared" si="30"/>
        <v>0</v>
      </c>
      <c r="AP57" s="426">
        <f t="shared" si="31"/>
        <v>0</v>
      </c>
      <c r="AQ57" s="426">
        <f t="shared" si="32"/>
        <v>0</v>
      </c>
      <c r="AR57" s="426">
        <f t="shared" si="33"/>
        <v>0</v>
      </c>
      <c r="AS57" s="426">
        <f t="shared" si="34"/>
        <v>0</v>
      </c>
      <c r="AT57" s="426">
        <f t="shared" si="35"/>
        <v>0</v>
      </c>
      <c r="AU57" s="426">
        <f t="shared" si="36"/>
        <v>0</v>
      </c>
      <c r="AV57" s="426">
        <f t="shared" si="37"/>
        <v>0</v>
      </c>
      <c r="AW57" s="426">
        <f t="shared" si="38"/>
        <v>0</v>
      </c>
    </row>
    <row r="58" spans="1:49" s="421" customFormat="1" ht="12" customHeight="1">
      <c r="A58" s="73">
        <f t="array" ref="A58">IF(C58&lt;&gt;0,SUM(($C$11:C58&lt;&gt;0)*1),"")</f>
        <v>48</v>
      </c>
      <c r="B58" s="422">
        <v>41894</v>
      </c>
      <c r="C58" s="316" t="s">
        <v>8</v>
      </c>
      <c r="D58" s="316">
        <v>41894</v>
      </c>
      <c r="E58" s="424" t="s">
        <v>335</v>
      </c>
      <c r="F58" s="75">
        <v>2500</v>
      </c>
      <c r="G58" s="432" t="s">
        <v>10</v>
      </c>
      <c r="H58" s="425" t="s">
        <v>34</v>
      </c>
      <c r="I58" s="73">
        <f t="shared" si="41"/>
        <v>48</v>
      </c>
      <c r="J58" s="426">
        <f t="shared" si="1"/>
        <v>0</v>
      </c>
      <c r="K58" s="426">
        <f t="shared" si="2"/>
        <v>0</v>
      </c>
      <c r="L58" s="426">
        <f t="shared" si="3"/>
        <v>0</v>
      </c>
      <c r="M58" s="426">
        <f t="shared" si="4"/>
        <v>2500</v>
      </c>
      <c r="N58" s="426">
        <f t="shared" si="5"/>
        <v>2500</v>
      </c>
      <c r="O58" s="426">
        <f t="shared" si="6"/>
        <v>0</v>
      </c>
      <c r="P58" s="426">
        <f t="shared" si="7"/>
        <v>0</v>
      </c>
      <c r="Q58" s="426">
        <f t="shared" si="8"/>
        <v>0</v>
      </c>
      <c r="R58" s="426">
        <f t="shared" si="39"/>
        <v>0</v>
      </c>
      <c r="S58" s="426">
        <f t="shared" si="40"/>
        <v>0</v>
      </c>
      <c r="T58" s="426">
        <f t="shared" si="9"/>
        <v>0</v>
      </c>
      <c r="U58" s="426">
        <f t="shared" si="10"/>
        <v>0</v>
      </c>
      <c r="V58" s="426">
        <f t="shared" si="11"/>
        <v>0</v>
      </c>
      <c r="W58" s="426">
        <f t="shared" si="12"/>
        <v>0</v>
      </c>
      <c r="X58" s="426">
        <f t="shared" si="13"/>
        <v>0</v>
      </c>
      <c r="Y58" s="426">
        <f t="shared" si="14"/>
        <v>0</v>
      </c>
      <c r="Z58" s="426">
        <f t="shared" si="15"/>
        <v>0</v>
      </c>
      <c r="AA58" s="426">
        <f t="shared" si="16"/>
        <v>0</v>
      </c>
      <c r="AB58" s="426">
        <f t="shared" si="17"/>
        <v>0</v>
      </c>
      <c r="AC58" s="426">
        <f t="shared" si="18"/>
        <v>0</v>
      </c>
      <c r="AD58" s="426">
        <f t="shared" si="19"/>
        <v>0</v>
      </c>
      <c r="AE58" s="426">
        <f t="shared" si="20"/>
        <v>0</v>
      </c>
      <c r="AF58" s="426">
        <f t="shared" si="21"/>
        <v>0</v>
      </c>
      <c r="AG58" s="426">
        <f t="shared" si="22"/>
        <v>0</v>
      </c>
      <c r="AH58" s="426">
        <f t="shared" si="23"/>
        <v>0</v>
      </c>
      <c r="AI58" s="426">
        <f t="shared" si="24"/>
        <v>0</v>
      </c>
      <c r="AJ58" s="426">
        <f t="shared" si="25"/>
        <v>0</v>
      </c>
      <c r="AK58" s="426">
        <f t="shared" si="26"/>
        <v>0</v>
      </c>
      <c r="AL58" s="426">
        <f t="shared" si="27"/>
        <v>0</v>
      </c>
      <c r="AM58" s="426">
        <f t="shared" si="28"/>
        <v>0</v>
      </c>
      <c r="AN58" s="426">
        <f t="shared" si="29"/>
        <v>0</v>
      </c>
      <c r="AO58" s="426">
        <f t="shared" si="30"/>
        <v>0</v>
      </c>
      <c r="AP58" s="426">
        <f t="shared" si="31"/>
        <v>0</v>
      </c>
      <c r="AQ58" s="426">
        <f t="shared" si="32"/>
        <v>0</v>
      </c>
      <c r="AR58" s="426">
        <f t="shared" si="33"/>
        <v>0</v>
      </c>
      <c r="AS58" s="426">
        <f t="shared" si="34"/>
        <v>0</v>
      </c>
      <c r="AT58" s="426">
        <f t="shared" si="35"/>
        <v>0</v>
      </c>
      <c r="AU58" s="426">
        <f t="shared" si="36"/>
        <v>0</v>
      </c>
      <c r="AV58" s="426">
        <f t="shared" si="37"/>
        <v>0</v>
      </c>
      <c r="AW58" s="426">
        <f t="shared" si="38"/>
        <v>0</v>
      </c>
    </row>
    <row r="59" spans="1:49" s="421" customFormat="1" ht="12" customHeight="1">
      <c r="A59" s="73">
        <f t="array" ref="A59">IF(C59&lt;&gt;0,SUM(($C$11:C59&lt;&gt;0)*1),"")</f>
        <v>49</v>
      </c>
      <c r="B59" s="422">
        <v>41905</v>
      </c>
      <c r="C59" s="316" t="s">
        <v>11</v>
      </c>
      <c r="D59" s="316">
        <v>41905</v>
      </c>
      <c r="E59" s="424" t="s">
        <v>412</v>
      </c>
      <c r="F59" s="75">
        <v>2000000000</v>
      </c>
      <c r="G59" s="432" t="s">
        <v>34</v>
      </c>
      <c r="H59" s="425" t="s">
        <v>65</v>
      </c>
      <c r="I59" s="73">
        <f t="shared" si="41"/>
        <v>49</v>
      </c>
      <c r="J59" s="426">
        <f t="shared" si="1"/>
        <v>0</v>
      </c>
      <c r="K59" s="426">
        <f t="shared" si="2"/>
        <v>0</v>
      </c>
      <c r="L59" s="426">
        <f t="shared" si="3"/>
        <v>2000000000</v>
      </c>
      <c r="M59" s="426">
        <f t="shared" si="4"/>
        <v>0</v>
      </c>
      <c r="N59" s="426">
        <f t="shared" si="5"/>
        <v>0</v>
      </c>
      <c r="O59" s="426">
        <f t="shared" si="6"/>
        <v>0</v>
      </c>
      <c r="P59" s="426">
        <f t="shared" si="7"/>
        <v>0</v>
      </c>
      <c r="Q59" s="426">
        <f t="shared" si="8"/>
        <v>0</v>
      </c>
      <c r="R59" s="426">
        <f t="shared" si="39"/>
        <v>0</v>
      </c>
      <c r="S59" s="426">
        <f t="shared" si="40"/>
        <v>0</v>
      </c>
      <c r="T59" s="426">
        <f t="shared" si="9"/>
        <v>0</v>
      </c>
      <c r="U59" s="426">
        <f t="shared" si="10"/>
        <v>0</v>
      </c>
      <c r="V59" s="426">
        <f t="shared" si="11"/>
        <v>0</v>
      </c>
      <c r="W59" s="426">
        <f t="shared" si="12"/>
        <v>0</v>
      </c>
      <c r="X59" s="426">
        <f t="shared" si="13"/>
        <v>0</v>
      </c>
      <c r="Y59" s="426">
        <f t="shared" si="14"/>
        <v>0</v>
      </c>
      <c r="Z59" s="426">
        <f t="shared" si="15"/>
        <v>0</v>
      </c>
      <c r="AA59" s="426">
        <f t="shared" si="16"/>
        <v>0</v>
      </c>
      <c r="AB59" s="426">
        <f t="shared" si="17"/>
        <v>0</v>
      </c>
      <c r="AC59" s="426">
        <f t="shared" si="18"/>
        <v>0</v>
      </c>
      <c r="AD59" s="426">
        <f t="shared" si="19"/>
        <v>0</v>
      </c>
      <c r="AE59" s="426">
        <f t="shared" si="20"/>
        <v>0</v>
      </c>
      <c r="AF59" s="426">
        <f t="shared" si="21"/>
        <v>0</v>
      </c>
      <c r="AG59" s="426">
        <f t="shared" si="22"/>
        <v>0</v>
      </c>
      <c r="AH59" s="426">
        <f t="shared" si="23"/>
        <v>0</v>
      </c>
      <c r="AI59" s="426">
        <f t="shared" si="24"/>
        <v>0</v>
      </c>
      <c r="AJ59" s="426">
        <f t="shared" si="25"/>
        <v>0</v>
      </c>
      <c r="AK59" s="426">
        <f t="shared" si="26"/>
        <v>0</v>
      </c>
      <c r="AL59" s="426">
        <f t="shared" si="27"/>
        <v>0</v>
      </c>
      <c r="AM59" s="426">
        <f t="shared" si="28"/>
        <v>0</v>
      </c>
      <c r="AN59" s="426">
        <f t="shared" si="29"/>
        <v>0</v>
      </c>
      <c r="AO59" s="426">
        <f t="shared" si="30"/>
        <v>0</v>
      </c>
      <c r="AP59" s="426">
        <f t="shared" si="31"/>
        <v>0</v>
      </c>
      <c r="AQ59" s="426">
        <f t="shared" si="32"/>
        <v>0</v>
      </c>
      <c r="AR59" s="426">
        <f t="shared" si="33"/>
        <v>0</v>
      </c>
      <c r="AS59" s="426">
        <f t="shared" si="34"/>
        <v>0</v>
      </c>
      <c r="AT59" s="426">
        <f t="shared" si="35"/>
        <v>0</v>
      </c>
      <c r="AU59" s="426">
        <f t="shared" si="36"/>
        <v>0</v>
      </c>
      <c r="AV59" s="426">
        <f t="shared" si="37"/>
        <v>0</v>
      </c>
      <c r="AW59" s="426">
        <f t="shared" si="38"/>
        <v>0</v>
      </c>
    </row>
    <row r="60" spans="1:49" s="421" customFormat="1" ht="12" customHeight="1">
      <c r="A60" s="73">
        <f t="array" ref="A60">IF(C60&lt;&gt;0,SUM(($C$11:C60&lt;&gt;0)*1),"")</f>
        <v>50</v>
      </c>
      <c r="B60" s="422">
        <v>41905</v>
      </c>
      <c r="C60" s="316" t="s">
        <v>11</v>
      </c>
      <c r="D60" s="316">
        <v>41905</v>
      </c>
      <c r="E60" s="424" t="s">
        <v>333</v>
      </c>
      <c r="F60" s="75">
        <v>9000000</v>
      </c>
      <c r="G60" s="432" t="s">
        <v>34</v>
      </c>
      <c r="H60" s="425" t="s">
        <v>23</v>
      </c>
      <c r="I60" s="73">
        <f t="shared" si="41"/>
        <v>50</v>
      </c>
      <c r="J60" s="426">
        <f t="shared" si="1"/>
        <v>0</v>
      </c>
      <c r="K60" s="426">
        <f t="shared" si="2"/>
        <v>0</v>
      </c>
      <c r="L60" s="426">
        <f t="shared" si="3"/>
        <v>9000000</v>
      </c>
      <c r="M60" s="426">
        <f t="shared" si="4"/>
        <v>0</v>
      </c>
      <c r="N60" s="426">
        <f t="shared" si="5"/>
        <v>0</v>
      </c>
      <c r="O60" s="426">
        <f t="shared" si="6"/>
        <v>0</v>
      </c>
      <c r="P60" s="426">
        <f t="shared" si="7"/>
        <v>0</v>
      </c>
      <c r="Q60" s="426">
        <f t="shared" si="8"/>
        <v>0</v>
      </c>
      <c r="R60" s="426">
        <f t="shared" si="39"/>
        <v>0</v>
      </c>
      <c r="S60" s="426">
        <f t="shared" si="40"/>
        <v>0</v>
      </c>
      <c r="T60" s="426">
        <f t="shared" si="9"/>
        <v>0</v>
      </c>
      <c r="U60" s="426">
        <f t="shared" si="10"/>
        <v>0</v>
      </c>
      <c r="V60" s="426">
        <f t="shared" si="11"/>
        <v>0</v>
      </c>
      <c r="W60" s="426">
        <f t="shared" si="12"/>
        <v>0</v>
      </c>
      <c r="X60" s="426">
        <f t="shared" si="13"/>
        <v>0</v>
      </c>
      <c r="Y60" s="426">
        <f t="shared" si="14"/>
        <v>0</v>
      </c>
      <c r="Z60" s="426">
        <f t="shared" si="15"/>
        <v>0</v>
      </c>
      <c r="AA60" s="426">
        <f t="shared" si="16"/>
        <v>9000000</v>
      </c>
      <c r="AB60" s="426">
        <f t="shared" si="17"/>
        <v>0</v>
      </c>
      <c r="AC60" s="426">
        <f t="shared" si="18"/>
        <v>0</v>
      </c>
      <c r="AD60" s="426">
        <f t="shared" si="19"/>
        <v>0</v>
      </c>
      <c r="AE60" s="426">
        <f t="shared" si="20"/>
        <v>0</v>
      </c>
      <c r="AF60" s="426">
        <f t="shared" si="21"/>
        <v>0</v>
      </c>
      <c r="AG60" s="426">
        <f t="shared" si="22"/>
        <v>0</v>
      </c>
      <c r="AH60" s="426">
        <f t="shared" si="23"/>
        <v>0</v>
      </c>
      <c r="AI60" s="426">
        <f t="shared" si="24"/>
        <v>0</v>
      </c>
      <c r="AJ60" s="426">
        <f t="shared" si="25"/>
        <v>0</v>
      </c>
      <c r="AK60" s="426">
        <f t="shared" si="26"/>
        <v>0</v>
      </c>
      <c r="AL60" s="426">
        <f t="shared" si="27"/>
        <v>0</v>
      </c>
      <c r="AM60" s="426">
        <f t="shared" si="28"/>
        <v>0</v>
      </c>
      <c r="AN60" s="426">
        <f t="shared" si="29"/>
        <v>0</v>
      </c>
      <c r="AO60" s="426">
        <f t="shared" si="30"/>
        <v>0</v>
      </c>
      <c r="AP60" s="426">
        <f t="shared" si="31"/>
        <v>0</v>
      </c>
      <c r="AQ60" s="426">
        <f t="shared" si="32"/>
        <v>0</v>
      </c>
      <c r="AR60" s="426">
        <f t="shared" si="33"/>
        <v>0</v>
      </c>
      <c r="AS60" s="426">
        <f t="shared" si="34"/>
        <v>0</v>
      </c>
      <c r="AT60" s="426">
        <f t="shared" si="35"/>
        <v>0</v>
      </c>
      <c r="AU60" s="426">
        <f t="shared" si="36"/>
        <v>0</v>
      </c>
      <c r="AV60" s="426">
        <f t="shared" si="37"/>
        <v>0</v>
      </c>
      <c r="AW60" s="426">
        <f t="shared" si="38"/>
        <v>0</v>
      </c>
    </row>
    <row r="61" spans="1:49" s="421" customFormat="1" ht="12" customHeight="1">
      <c r="A61" s="73">
        <f t="array" ref="A61">IF(C61&lt;&gt;0,SUM(($C$11:C61&lt;&gt;0)*1),"")</f>
        <v>51</v>
      </c>
      <c r="B61" s="422">
        <v>41905</v>
      </c>
      <c r="C61" s="316" t="s">
        <v>8</v>
      </c>
      <c r="D61" s="316">
        <v>41905</v>
      </c>
      <c r="E61" s="424" t="s">
        <v>413</v>
      </c>
      <c r="F61" s="75">
        <v>752610000</v>
      </c>
      <c r="G61" s="432" t="s">
        <v>9</v>
      </c>
      <c r="H61" s="425" t="s">
        <v>34</v>
      </c>
      <c r="I61" s="73">
        <f t="shared" si="41"/>
        <v>51</v>
      </c>
      <c r="J61" s="426">
        <f t="shared" si="1"/>
        <v>0</v>
      </c>
      <c r="K61" s="426">
        <f t="shared" si="2"/>
        <v>0</v>
      </c>
      <c r="L61" s="426">
        <f t="shared" si="3"/>
        <v>0</v>
      </c>
      <c r="M61" s="426">
        <f t="shared" si="4"/>
        <v>752610000</v>
      </c>
      <c r="N61" s="426">
        <f t="shared" si="5"/>
        <v>0</v>
      </c>
      <c r="O61" s="426">
        <f t="shared" si="6"/>
        <v>0</v>
      </c>
      <c r="P61" s="426">
        <f t="shared" si="7"/>
        <v>0</v>
      </c>
      <c r="Q61" s="426">
        <f t="shared" si="8"/>
        <v>0</v>
      </c>
      <c r="R61" s="426">
        <f t="shared" si="39"/>
        <v>0</v>
      </c>
      <c r="S61" s="426">
        <f t="shared" si="40"/>
        <v>0</v>
      </c>
      <c r="T61" s="426">
        <f t="shared" si="9"/>
        <v>752610000</v>
      </c>
      <c r="U61" s="426">
        <f t="shared" si="10"/>
        <v>0</v>
      </c>
      <c r="V61" s="426">
        <f t="shared" si="11"/>
        <v>0</v>
      </c>
      <c r="W61" s="426">
        <f t="shared" si="12"/>
        <v>0</v>
      </c>
      <c r="X61" s="426">
        <f t="shared" si="13"/>
        <v>0</v>
      </c>
      <c r="Y61" s="426">
        <f t="shared" si="14"/>
        <v>0</v>
      </c>
      <c r="Z61" s="426">
        <f t="shared" si="15"/>
        <v>0</v>
      </c>
      <c r="AA61" s="426">
        <f t="shared" si="16"/>
        <v>0</v>
      </c>
      <c r="AB61" s="426">
        <f t="shared" si="17"/>
        <v>0</v>
      </c>
      <c r="AC61" s="426">
        <f t="shared" si="18"/>
        <v>0</v>
      </c>
      <c r="AD61" s="426">
        <f t="shared" si="19"/>
        <v>0</v>
      </c>
      <c r="AE61" s="426">
        <f t="shared" si="20"/>
        <v>0</v>
      </c>
      <c r="AF61" s="426">
        <f t="shared" si="21"/>
        <v>0</v>
      </c>
      <c r="AG61" s="426">
        <f t="shared" si="22"/>
        <v>0</v>
      </c>
      <c r="AH61" s="426">
        <f t="shared" si="23"/>
        <v>0</v>
      </c>
      <c r="AI61" s="426">
        <f t="shared" si="24"/>
        <v>0</v>
      </c>
      <c r="AJ61" s="426">
        <f t="shared" si="25"/>
        <v>0</v>
      </c>
      <c r="AK61" s="426">
        <f t="shared" si="26"/>
        <v>0</v>
      </c>
      <c r="AL61" s="426">
        <f t="shared" si="27"/>
        <v>0</v>
      </c>
      <c r="AM61" s="426">
        <f t="shared" si="28"/>
        <v>0</v>
      </c>
      <c r="AN61" s="426">
        <f t="shared" si="29"/>
        <v>0</v>
      </c>
      <c r="AO61" s="426">
        <f t="shared" si="30"/>
        <v>0</v>
      </c>
      <c r="AP61" s="426">
        <f t="shared" si="31"/>
        <v>0</v>
      </c>
      <c r="AQ61" s="426">
        <f t="shared" si="32"/>
        <v>0</v>
      </c>
      <c r="AR61" s="426">
        <f t="shared" si="33"/>
        <v>0</v>
      </c>
      <c r="AS61" s="426">
        <f t="shared" si="34"/>
        <v>0</v>
      </c>
      <c r="AT61" s="426">
        <f t="shared" si="35"/>
        <v>0</v>
      </c>
      <c r="AU61" s="426">
        <f t="shared" si="36"/>
        <v>0</v>
      </c>
      <c r="AV61" s="426">
        <f t="shared" si="37"/>
        <v>0</v>
      </c>
      <c r="AW61" s="426">
        <f t="shared" si="38"/>
        <v>0</v>
      </c>
    </row>
    <row r="62" spans="1:49" s="421" customFormat="1" ht="12" customHeight="1">
      <c r="A62" s="73">
        <f t="array" ref="A62">IF(C62&lt;&gt;0,SUM(($C$11:C62&lt;&gt;0)*1),"")</f>
        <v>52</v>
      </c>
      <c r="B62" s="422">
        <v>41905</v>
      </c>
      <c r="C62" s="316" t="s">
        <v>8</v>
      </c>
      <c r="D62" s="316">
        <v>41905</v>
      </c>
      <c r="E62" s="424" t="s">
        <v>21</v>
      </c>
      <c r="F62" s="75">
        <v>225783</v>
      </c>
      <c r="G62" s="432" t="s">
        <v>348</v>
      </c>
      <c r="H62" s="425" t="s">
        <v>34</v>
      </c>
      <c r="I62" s="73">
        <f t="shared" si="41"/>
        <v>52</v>
      </c>
      <c r="J62" s="426">
        <f t="shared" si="1"/>
        <v>0</v>
      </c>
      <c r="K62" s="426">
        <f t="shared" si="2"/>
        <v>0</v>
      </c>
      <c r="L62" s="426">
        <f t="shared" si="3"/>
        <v>0</v>
      </c>
      <c r="M62" s="426">
        <f t="shared" si="4"/>
        <v>225783</v>
      </c>
      <c r="N62" s="426">
        <f t="shared" si="5"/>
        <v>0</v>
      </c>
      <c r="O62" s="426">
        <f t="shared" si="6"/>
        <v>0</v>
      </c>
      <c r="P62" s="426">
        <f t="shared" si="7"/>
        <v>0</v>
      </c>
      <c r="Q62" s="426">
        <f t="shared" si="8"/>
        <v>0</v>
      </c>
      <c r="R62" s="426">
        <f t="shared" si="39"/>
        <v>0</v>
      </c>
      <c r="S62" s="426">
        <f t="shared" si="40"/>
        <v>0</v>
      </c>
      <c r="T62" s="426">
        <f t="shared" si="9"/>
        <v>0</v>
      </c>
      <c r="U62" s="426">
        <f t="shared" si="10"/>
        <v>0</v>
      </c>
      <c r="V62" s="426">
        <f t="shared" si="11"/>
        <v>0</v>
      </c>
      <c r="W62" s="426">
        <f t="shared" si="12"/>
        <v>0</v>
      </c>
      <c r="X62" s="426">
        <f t="shared" si="13"/>
        <v>0</v>
      </c>
      <c r="Y62" s="426">
        <f t="shared" si="14"/>
        <v>0</v>
      </c>
      <c r="Z62" s="426">
        <f t="shared" si="15"/>
        <v>0</v>
      </c>
      <c r="AA62" s="426">
        <f t="shared" si="16"/>
        <v>0</v>
      </c>
      <c r="AB62" s="426">
        <f t="shared" si="17"/>
        <v>0</v>
      </c>
      <c r="AC62" s="426">
        <f t="shared" si="18"/>
        <v>0</v>
      </c>
      <c r="AD62" s="426">
        <f t="shared" si="19"/>
        <v>0</v>
      </c>
      <c r="AE62" s="426">
        <f t="shared" si="20"/>
        <v>0</v>
      </c>
      <c r="AF62" s="426">
        <f t="shared" si="21"/>
        <v>0</v>
      </c>
      <c r="AG62" s="426">
        <f t="shared" si="22"/>
        <v>0</v>
      </c>
      <c r="AH62" s="426">
        <f t="shared" si="23"/>
        <v>0</v>
      </c>
      <c r="AI62" s="426">
        <f t="shared" si="24"/>
        <v>0</v>
      </c>
      <c r="AJ62" s="426">
        <f t="shared" si="25"/>
        <v>0</v>
      </c>
      <c r="AK62" s="426">
        <f t="shared" si="26"/>
        <v>0</v>
      </c>
      <c r="AL62" s="426">
        <f t="shared" si="27"/>
        <v>0</v>
      </c>
      <c r="AM62" s="426">
        <f t="shared" si="28"/>
        <v>0</v>
      </c>
      <c r="AN62" s="426">
        <f t="shared" si="29"/>
        <v>0</v>
      </c>
      <c r="AO62" s="426">
        <f t="shared" si="30"/>
        <v>0</v>
      </c>
      <c r="AP62" s="426">
        <f t="shared" si="31"/>
        <v>0</v>
      </c>
      <c r="AQ62" s="426">
        <f t="shared" si="32"/>
        <v>0</v>
      </c>
      <c r="AR62" s="426">
        <f t="shared" si="33"/>
        <v>0</v>
      </c>
      <c r="AS62" s="426">
        <f t="shared" si="34"/>
        <v>0</v>
      </c>
      <c r="AT62" s="426">
        <f t="shared" si="35"/>
        <v>0</v>
      </c>
      <c r="AU62" s="426">
        <f t="shared" si="36"/>
        <v>0</v>
      </c>
      <c r="AV62" s="426">
        <f t="shared" si="37"/>
        <v>0</v>
      </c>
      <c r="AW62" s="426">
        <f t="shared" si="38"/>
        <v>0</v>
      </c>
    </row>
    <row r="63" spans="1:49" s="421" customFormat="1" ht="12" customHeight="1">
      <c r="A63" s="73">
        <f t="array" ref="A63">IF(C63&lt;&gt;0,SUM(($C$11:C63&lt;&gt;0)*1),"")</f>
        <v>53</v>
      </c>
      <c r="B63" s="422">
        <v>41905</v>
      </c>
      <c r="C63" s="316" t="s">
        <v>8</v>
      </c>
      <c r="D63" s="316">
        <v>41905</v>
      </c>
      <c r="E63" s="424" t="s">
        <v>335</v>
      </c>
      <c r="F63" s="75">
        <v>22578</v>
      </c>
      <c r="G63" s="432" t="s">
        <v>10</v>
      </c>
      <c r="H63" s="425" t="s">
        <v>34</v>
      </c>
      <c r="I63" s="73">
        <f t="shared" si="41"/>
        <v>53</v>
      </c>
      <c r="J63" s="426">
        <f t="shared" si="1"/>
        <v>0</v>
      </c>
      <c r="K63" s="426">
        <f t="shared" si="2"/>
        <v>0</v>
      </c>
      <c r="L63" s="426">
        <f t="shared" si="3"/>
        <v>0</v>
      </c>
      <c r="M63" s="426">
        <f t="shared" si="4"/>
        <v>22578</v>
      </c>
      <c r="N63" s="426">
        <f t="shared" si="5"/>
        <v>22578</v>
      </c>
      <c r="O63" s="426">
        <f t="shared" si="6"/>
        <v>0</v>
      </c>
      <c r="P63" s="426">
        <f t="shared" si="7"/>
        <v>0</v>
      </c>
      <c r="Q63" s="426">
        <f t="shared" si="8"/>
        <v>0</v>
      </c>
      <c r="R63" s="426">
        <f t="shared" si="39"/>
        <v>0</v>
      </c>
      <c r="S63" s="426">
        <f t="shared" si="40"/>
        <v>0</v>
      </c>
      <c r="T63" s="426">
        <f t="shared" si="9"/>
        <v>0</v>
      </c>
      <c r="U63" s="426">
        <f t="shared" si="10"/>
        <v>0</v>
      </c>
      <c r="V63" s="426">
        <f t="shared" si="11"/>
        <v>0</v>
      </c>
      <c r="W63" s="426">
        <f t="shared" si="12"/>
        <v>0</v>
      </c>
      <c r="X63" s="426">
        <f t="shared" si="13"/>
        <v>0</v>
      </c>
      <c r="Y63" s="426">
        <f t="shared" si="14"/>
        <v>0</v>
      </c>
      <c r="Z63" s="426">
        <f t="shared" si="15"/>
        <v>0</v>
      </c>
      <c r="AA63" s="426">
        <f t="shared" si="16"/>
        <v>0</v>
      </c>
      <c r="AB63" s="426">
        <f t="shared" si="17"/>
        <v>0</v>
      </c>
      <c r="AC63" s="426">
        <f t="shared" si="18"/>
        <v>0</v>
      </c>
      <c r="AD63" s="426">
        <f t="shared" si="19"/>
        <v>0</v>
      </c>
      <c r="AE63" s="426">
        <f t="shared" si="20"/>
        <v>0</v>
      </c>
      <c r="AF63" s="426">
        <f t="shared" si="21"/>
        <v>0</v>
      </c>
      <c r="AG63" s="426">
        <f t="shared" si="22"/>
        <v>0</v>
      </c>
      <c r="AH63" s="426">
        <f t="shared" si="23"/>
        <v>0</v>
      </c>
      <c r="AI63" s="426">
        <f t="shared" si="24"/>
        <v>0</v>
      </c>
      <c r="AJ63" s="426">
        <f t="shared" si="25"/>
        <v>0</v>
      </c>
      <c r="AK63" s="426">
        <f t="shared" si="26"/>
        <v>0</v>
      </c>
      <c r="AL63" s="426">
        <f t="shared" si="27"/>
        <v>0</v>
      </c>
      <c r="AM63" s="426">
        <f t="shared" si="28"/>
        <v>0</v>
      </c>
      <c r="AN63" s="426">
        <f t="shared" si="29"/>
        <v>0</v>
      </c>
      <c r="AO63" s="426">
        <f t="shared" si="30"/>
        <v>0</v>
      </c>
      <c r="AP63" s="426">
        <f t="shared" si="31"/>
        <v>0</v>
      </c>
      <c r="AQ63" s="426">
        <f t="shared" si="32"/>
        <v>0</v>
      </c>
      <c r="AR63" s="426">
        <f t="shared" si="33"/>
        <v>0</v>
      </c>
      <c r="AS63" s="426">
        <f t="shared" si="34"/>
        <v>0</v>
      </c>
      <c r="AT63" s="426">
        <f t="shared" si="35"/>
        <v>0</v>
      </c>
      <c r="AU63" s="426">
        <f t="shared" si="36"/>
        <v>0</v>
      </c>
      <c r="AV63" s="426">
        <f t="shared" si="37"/>
        <v>0</v>
      </c>
      <c r="AW63" s="426">
        <f t="shared" si="38"/>
        <v>0</v>
      </c>
    </row>
    <row r="64" spans="1:49" s="421" customFormat="1" ht="12" customHeight="1">
      <c r="A64" s="73">
        <f t="array" ref="A64">IF(C64&lt;&gt;0,SUM(($C$11:C64&lt;&gt;0)*1),"")</f>
        <v>54</v>
      </c>
      <c r="B64" s="422">
        <v>41905</v>
      </c>
      <c r="C64" s="316" t="s">
        <v>8</v>
      </c>
      <c r="D64" s="316">
        <v>41905</v>
      </c>
      <c r="E64" s="424" t="s">
        <v>372</v>
      </c>
      <c r="F64" s="75">
        <v>800000000</v>
      </c>
      <c r="G64" s="432" t="s">
        <v>9</v>
      </c>
      <c r="H64" s="425" t="s">
        <v>34</v>
      </c>
      <c r="I64" s="73">
        <f t="shared" si="41"/>
        <v>54</v>
      </c>
      <c r="J64" s="426">
        <f t="shared" si="1"/>
        <v>0</v>
      </c>
      <c r="K64" s="426">
        <f t="shared" si="2"/>
        <v>0</v>
      </c>
      <c r="L64" s="426">
        <f t="shared" si="3"/>
        <v>0</v>
      </c>
      <c r="M64" s="426">
        <f t="shared" si="4"/>
        <v>800000000</v>
      </c>
      <c r="N64" s="426">
        <f t="shared" si="5"/>
        <v>0</v>
      </c>
      <c r="O64" s="426">
        <f t="shared" si="6"/>
        <v>0</v>
      </c>
      <c r="P64" s="426">
        <f t="shared" si="7"/>
        <v>0</v>
      </c>
      <c r="Q64" s="426">
        <f t="shared" si="8"/>
        <v>0</v>
      </c>
      <c r="R64" s="426">
        <f t="shared" si="39"/>
        <v>0</v>
      </c>
      <c r="S64" s="426">
        <f t="shared" si="40"/>
        <v>0</v>
      </c>
      <c r="T64" s="426">
        <f t="shared" si="9"/>
        <v>800000000</v>
      </c>
      <c r="U64" s="426">
        <f t="shared" si="10"/>
        <v>0</v>
      </c>
      <c r="V64" s="426">
        <f t="shared" si="11"/>
        <v>0</v>
      </c>
      <c r="W64" s="426">
        <f t="shared" si="12"/>
        <v>0</v>
      </c>
      <c r="X64" s="426">
        <f t="shared" si="13"/>
        <v>0</v>
      </c>
      <c r="Y64" s="426">
        <f t="shared" si="14"/>
        <v>0</v>
      </c>
      <c r="Z64" s="426">
        <f t="shared" si="15"/>
        <v>0</v>
      </c>
      <c r="AA64" s="426">
        <f t="shared" si="16"/>
        <v>0</v>
      </c>
      <c r="AB64" s="426">
        <f t="shared" si="17"/>
        <v>0</v>
      </c>
      <c r="AC64" s="426">
        <f t="shared" si="18"/>
        <v>0</v>
      </c>
      <c r="AD64" s="426">
        <f t="shared" si="19"/>
        <v>0</v>
      </c>
      <c r="AE64" s="426">
        <f t="shared" si="20"/>
        <v>0</v>
      </c>
      <c r="AF64" s="426">
        <f t="shared" si="21"/>
        <v>0</v>
      </c>
      <c r="AG64" s="426">
        <f t="shared" si="22"/>
        <v>0</v>
      </c>
      <c r="AH64" s="426">
        <f t="shared" si="23"/>
        <v>0</v>
      </c>
      <c r="AI64" s="426">
        <f t="shared" si="24"/>
        <v>0</v>
      </c>
      <c r="AJ64" s="426">
        <f t="shared" si="25"/>
        <v>0</v>
      </c>
      <c r="AK64" s="426">
        <f t="shared" si="26"/>
        <v>0</v>
      </c>
      <c r="AL64" s="426">
        <f t="shared" si="27"/>
        <v>0</v>
      </c>
      <c r="AM64" s="426">
        <f t="shared" si="28"/>
        <v>0</v>
      </c>
      <c r="AN64" s="426">
        <f t="shared" si="29"/>
        <v>0</v>
      </c>
      <c r="AO64" s="426">
        <f t="shared" si="30"/>
        <v>0</v>
      </c>
      <c r="AP64" s="426">
        <f t="shared" si="31"/>
        <v>0</v>
      </c>
      <c r="AQ64" s="426">
        <f t="shared" si="32"/>
        <v>0</v>
      </c>
      <c r="AR64" s="426">
        <f t="shared" si="33"/>
        <v>0</v>
      </c>
      <c r="AS64" s="426">
        <f t="shared" si="34"/>
        <v>0</v>
      </c>
      <c r="AT64" s="426">
        <f t="shared" si="35"/>
        <v>0</v>
      </c>
      <c r="AU64" s="426">
        <f t="shared" si="36"/>
        <v>0</v>
      </c>
      <c r="AV64" s="426">
        <f t="shared" si="37"/>
        <v>0</v>
      </c>
      <c r="AW64" s="426">
        <f t="shared" si="38"/>
        <v>0</v>
      </c>
    </row>
    <row r="65" spans="1:49" s="421" customFormat="1" ht="12" customHeight="1">
      <c r="A65" s="73">
        <f t="array" ref="A65">IF(C65&lt;&gt;0,SUM(($C$11:C65&lt;&gt;0)*1),"")</f>
        <v>55</v>
      </c>
      <c r="B65" s="422">
        <v>41905</v>
      </c>
      <c r="C65" s="316" t="s">
        <v>8</v>
      </c>
      <c r="D65" s="316">
        <v>41905</v>
      </c>
      <c r="E65" s="424" t="s">
        <v>21</v>
      </c>
      <c r="F65" s="75">
        <v>400000</v>
      </c>
      <c r="G65" s="432" t="s">
        <v>348</v>
      </c>
      <c r="H65" s="425" t="s">
        <v>34</v>
      </c>
      <c r="I65" s="73">
        <f t="shared" si="41"/>
        <v>55</v>
      </c>
      <c r="J65" s="426">
        <f t="shared" si="1"/>
        <v>0</v>
      </c>
      <c r="K65" s="426">
        <f t="shared" si="2"/>
        <v>0</v>
      </c>
      <c r="L65" s="426">
        <f t="shared" si="3"/>
        <v>0</v>
      </c>
      <c r="M65" s="426">
        <f t="shared" si="4"/>
        <v>400000</v>
      </c>
      <c r="N65" s="426">
        <f t="shared" si="5"/>
        <v>0</v>
      </c>
      <c r="O65" s="426">
        <f t="shared" si="6"/>
        <v>0</v>
      </c>
      <c r="P65" s="426">
        <f t="shared" si="7"/>
        <v>0</v>
      </c>
      <c r="Q65" s="426">
        <f t="shared" si="8"/>
        <v>0</v>
      </c>
      <c r="R65" s="426">
        <f t="shared" si="39"/>
        <v>0</v>
      </c>
      <c r="S65" s="426">
        <f t="shared" si="40"/>
        <v>0</v>
      </c>
      <c r="T65" s="426">
        <f t="shared" si="9"/>
        <v>0</v>
      </c>
      <c r="U65" s="426">
        <f t="shared" si="10"/>
        <v>0</v>
      </c>
      <c r="V65" s="426">
        <f t="shared" si="11"/>
        <v>0</v>
      </c>
      <c r="W65" s="426">
        <f t="shared" si="12"/>
        <v>0</v>
      </c>
      <c r="X65" s="426">
        <f t="shared" si="13"/>
        <v>0</v>
      </c>
      <c r="Y65" s="426">
        <f t="shared" si="14"/>
        <v>0</v>
      </c>
      <c r="Z65" s="426">
        <f t="shared" si="15"/>
        <v>0</v>
      </c>
      <c r="AA65" s="426">
        <f t="shared" si="16"/>
        <v>0</v>
      </c>
      <c r="AB65" s="426">
        <f t="shared" si="17"/>
        <v>0</v>
      </c>
      <c r="AC65" s="426">
        <f t="shared" si="18"/>
        <v>0</v>
      </c>
      <c r="AD65" s="426">
        <f t="shared" si="19"/>
        <v>0</v>
      </c>
      <c r="AE65" s="426">
        <f t="shared" si="20"/>
        <v>0</v>
      </c>
      <c r="AF65" s="426">
        <f t="shared" si="21"/>
        <v>0</v>
      </c>
      <c r="AG65" s="426">
        <f t="shared" si="22"/>
        <v>0</v>
      </c>
      <c r="AH65" s="426">
        <f t="shared" si="23"/>
        <v>0</v>
      </c>
      <c r="AI65" s="426">
        <f t="shared" si="24"/>
        <v>0</v>
      </c>
      <c r="AJ65" s="426">
        <f t="shared" si="25"/>
        <v>0</v>
      </c>
      <c r="AK65" s="426">
        <f t="shared" si="26"/>
        <v>0</v>
      </c>
      <c r="AL65" s="426">
        <f t="shared" si="27"/>
        <v>0</v>
      </c>
      <c r="AM65" s="426">
        <f t="shared" si="28"/>
        <v>0</v>
      </c>
      <c r="AN65" s="426">
        <f t="shared" si="29"/>
        <v>0</v>
      </c>
      <c r="AO65" s="426">
        <f t="shared" si="30"/>
        <v>0</v>
      </c>
      <c r="AP65" s="426">
        <f t="shared" si="31"/>
        <v>0</v>
      </c>
      <c r="AQ65" s="426">
        <f t="shared" si="32"/>
        <v>0</v>
      </c>
      <c r="AR65" s="426">
        <f t="shared" si="33"/>
        <v>0</v>
      </c>
      <c r="AS65" s="426">
        <f t="shared" si="34"/>
        <v>0</v>
      </c>
      <c r="AT65" s="426">
        <f t="shared" si="35"/>
        <v>0</v>
      </c>
      <c r="AU65" s="426">
        <f t="shared" si="36"/>
        <v>0</v>
      </c>
      <c r="AV65" s="426">
        <f t="shared" si="37"/>
        <v>0</v>
      </c>
      <c r="AW65" s="426">
        <f t="shared" si="38"/>
        <v>0</v>
      </c>
    </row>
    <row r="66" spans="1:49" s="421" customFormat="1" ht="12" customHeight="1">
      <c r="A66" s="73">
        <f t="array" ref="A66">IF(C66&lt;&gt;0,SUM(($C$11:C66&lt;&gt;0)*1),"")</f>
        <v>56</v>
      </c>
      <c r="B66" s="422">
        <v>41905</v>
      </c>
      <c r="C66" s="316" t="s">
        <v>8</v>
      </c>
      <c r="D66" s="316">
        <v>41905</v>
      </c>
      <c r="E66" s="424" t="s">
        <v>335</v>
      </c>
      <c r="F66" s="75">
        <v>40000</v>
      </c>
      <c r="G66" s="432" t="s">
        <v>10</v>
      </c>
      <c r="H66" s="425" t="s">
        <v>34</v>
      </c>
      <c r="I66" s="73">
        <f t="shared" si="41"/>
        <v>56</v>
      </c>
      <c r="J66" s="426">
        <f t="shared" si="1"/>
        <v>0</v>
      </c>
      <c r="K66" s="426">
        <f t="shared" si="2"/>
        <v>0</v>
      </c>
      <c r="L66" s="426">
        <f t="shared" si="3"/>
        <v>0</v>
      </c>
      <c r="M66" s="426">
        <f t="shared" si="4"/>
        <v>40000</v>
      </c>
      <c r="N66" s="426">
        <f t="shared" si="5"/>
        <v>40000</v>
      </c>
      <c r="O66" s="426">
        <f t="shared" si="6"/>
        <v>0</v>
      </c>
      <c r="P66" s="426">
        <f t="shared" si="7"/>
        <v>0</v>
      </c>
      <c r="Q66" s="426">
        <f t="shared" si="8"/>
        <v>0</v>
      </c>
      <c r="R66" s="426">
        <f t="shared" si="39"/>
        <v>0</v>
      </c>
      <c r="S66" s="426">
        <f t="shared" si="40"/>
        <v>0</v>
      </c>
      <c r="T66" s="426">
        <f t="shared" si="9"/>
        <v>0</v>
      </c>
      <c r="U66" s="426">
        <f t="shared" si="10"/>
        <v>0</v>
      </c>
      <c r="V66" s="426">
        <f t="shared" si="11"/>
        <v>0</v>
      </c>
      <c r="W66" s="426">
        <f t="shared" si="12"/>
        <v>0</v>
      </c>
      <c r="X66" s="426">
        <f t="shared" si="13"/>
        <v>0</v>
      </c>
      <c r="Y66" s="426">
        <f t="shared" si="14"/>
        <v>0</v>
      </c>
      <c r="Z66" s="426">
        <f t="shared" si="15"/>
        <v>0</v>
      </c>
      <c r="AA66" s="426">
        <f t="shared" si="16"/>
        <v>0</v>
      </c>
      <c r="AB66" s="426">
        <f t="shared" si="17"/>
        <v>0</v>
      </c>
      <c r="AC66" s="426">
        <f t="shared" si="18"/>
        <v>0</v>
      </c>
      <c r="AD66" s="426">
        <f t="shared" si="19"/>
        <v>0</v>
      </c>
      <c r="AE66" s="426">
        <f t="shared" si="20"/>
        <v>0</v>
      </c>
      <c r="AF66" s="426">
        <f t="shared" si="21"/>
        <v>0</v>
      </c>
      <c r="AG66" s="426">
        <f t="shared" si="22"/>
        <v>0</v>
      </c>
      <c r="AH66" s="426">
        <f t="shared" si="23"/>
        <v>0</v>
      </c>
      <c r="AI66" s="426">
        <f t="shared" si="24"/>
        <v>0</v>
      </c>
      <c r="AJ66" s="426">
        <f t="shared" si="25"/>
        <v>0</v>
      </c>
      <c r="AK66" s="426">
        <f t="shared" si="26"/>
        <v>0</v>
      </c>
      <c r="AL66" s="426">
        <f t="shared" si="27"/>
        <v>0</v>
      </c>
      <c r="AM66" s="426">
        <f t="shared" si="28"/>
        <v>0</v>
      </c>
      <c r="AN66" s="426">
        <f t="shared" si="29"/>
        <v>0</v>
      </c>
      <c r="AO66" s="426">
        <f t="shared" si="30"/>
        <v>0</v>
      </c>
      <c r="AP66" s="426">
        <f t="shared" si="31"/>
        <v>0</v>
      </c>
      <c r="AQ66" s="426">
        <f t="shared" si="32"/>
        <v>0</v>
      </c>
      <c r="AR66" s="426">
        <f t="shared" si="33"/>
        <v>0</v>
      </c>
      <c r="AS66" s="426">
        <f t="shared" si="34"/>
        <v>0</v>
      </c>
      <c r="AT66" s="426">
        <f t="shared" si="35"/>
        <v>0</v>
      </c>
      <c r="AU66" s="426">
        <f t="shared" si="36"/>
        <v>0</v>
      </c>
      <c r="AV66" s="426">
        <f t="shared" si="37"/>
        <v>0</v>
      </c>
      <c r="AW66" s="426">
        <f t="shared" si="38"/>
        <v>0</v>
      </c>
    </row>
    <row r="67" spans="1:49" s="421" customFormat="1" ht="12" customHeight="1">
      <c r="A67" s="73">
        <f t="array" ref="A67">IF(C67&lt;&gt;0,SUM(($C$11:C67&lt;&gt;0)*1),"")</f>
        <v>57</v>
      </c>
      <c r="B67" s="422">
        <v>41905</v>
      </c>
      <c r="C67" s="316" t="s">
        <v>8</v>
      </c>
      <c r="D67" s="316">
        <v>41905</v>
      </c>
      <c r="E67" s="424" t="s">
        <v>77</v>
      </c>
      <c r="F67" s="75">
        <v>8625463</v>
      </c>
      <c r="G67" s="432" t="s">
        <v>248</v>
      </c>
      <c r="H67" s="425" t="s">
        <v>34</v>
      </c>
      <c r="I67" s="73">
        <f t="shared" si="41"/>
        <v>57</v>
      </c>
      <c r="J67" s="426">
        <f t="shared" si="1"/>
        <v>0</v>
      </c>
      <c r="K67" s="426">
        <f t="shared" si="2"/>
        <v>0</v>
      </c>
      <c r="L67" s="426">
        <f t="shared" si="3"/>
        <v>0</v>
      </c>
      <c r="M67" s="426">
        <f t="shared" si="4"/>
        <v>8625463</v>
      </c>
      <c r="N67" s="426">
        <f t="shared" si="5"/>
        <v>0</v>
      </c>
      <c r="O67" s="426">
        <f t="shared" si="6"/>
        <v>0</v>
      </c>
      <c r="P67" s="426">
        <f t="shared" si="7"/>
        <v>0</v>
      </c>
      <c r="Q67" s="426">
        <f t="shared" si="8"/>
        <v>0</v>
      </c>
      <c r="R67" s="426">
        <f t="shared" si="39"/>
        <v>8625463</v>
      </c>
      <c r="S67" s="426">
        <f t="shared" si="40"/>
        <v>0</v>
      </c>
      <c r="T67" s="426">
        <f t="shared" si="9"/>
        <v>0</v>
      </c>
      <c r="U67" s="426">
        <f t="shared" si="10"/>
        <v>0</v>
      </c>
      <c r="V67" s="426">
        <f t="shared" si="11"/>
        <v>0</v>
      </c>
      <c r="W67" s="426">
        <f t="shared" si="12"/>
        <v>0</v>
      </c>
      <c r="X67" s="426">
        <f t="shared" si="13"/>
        <v>0</v>
      </c>
      <c r="Y67" s="426">
        <f t="shared" si="14"/>
        <v>0</v>
      </c>
      <c r="Z67" s="426">
        <f t="shared" si="15"/>
        <v>0</v>
      </c>
      <c r="AA67" s="426">
        <f t="shared" si="16"/>
        <v>0</v>
      </c>
      <c r="AB67" s="426">
        <f t="shared" si="17"/>
        <v>0</v>
      </c>
      <c r="AC67" s="426">
        <f t="shared" si="18"/>
        <v>0</v>
      </c>
      <c r="AD67" s="426">
        <f t="shared" si="19"/>
        <v>0</v>
      </c>
      <c r="AE67" s="426">
        <f t="shared" si="20"/>
        <v>0</v>
      </c>
      <c r="AF67" s="426">
        <f t="shared" si="21"/>
        <v>0</v>
      </c>
      <c r="AG67" s="426">
        <f t="shared" si="22"/>
        <v>0</v>
      </c>
      <c r="AH67" s="426">
        <f t="shared" si="23"/>
        <v>0</v>
      </c>
      <c r="AI67" s="426">
        <f t="shared" si="24"/>
        <v>0</v>
      </c>
      <c r="AJ67" s="426">
        <f t="shared" si="25"/>
        <v>0</v>
      </c>
      <c r="AK67" s="426">
        <f t="shared" si="26"/>
        <v>0</v>
      </c>
      <c r="AL67" s="426">
        <f t="shared" si="27"/>
        <v>0</v>
      </c>
      <c r="AM67" s="426">
        <f t="shared" si="28"/>
        <v>0</v>
      </c>
      <c r="AN67" s="426">
        <f t="shared" si="29"/>
        <v>0</v>
      </c>
      <c r="AO67" s="426">
        <f t="shared" si="30"/>
        <v>0</v>
      </c>
      <c r="AP67" s="426">
        <f t="shared" si="31"/>
        <v>0</v>
      </c>
      <c r="AQ67" s="426">
        <f t="shared" si="32"/>
        <v>0</v>
      </c>
      <c r="AR67" s="426">
        <f t="shared" si="33"/>
        <v>0</v>
      </c>
      <c r="AS67" s="426">
        <f t="shared" si="34"/>
        <v>0</v>
      </c>
      <c r="AT67" s="426">
        <f t="shared" si="35"/>
        <v>0</v>
      </c>
      <c r="AU67" s="426">
        <f t="shared" si="36"/>
        <v>0</v>
      </c>
      <c r="AV67" s="426">
        <f t="shared" si="37"/>
        <v>0</v>
      </c>
      <c r="AW67" s="426">
        <f t="shared" si="38"/>
        <v>0</v>
      </c>
    </row>
    <row r="68" spans="1:49" s="421" customFormat="1" ht="12" customHeight="1">
      <c r="A68" s="73">
        <f t="array" ref="A68">IF(C68&lt;&gt;0,SUM(($C$11:C68&lt;&gt;0)*1),"")</f>
        <v>58</v>
      </c>
      <c r="B68" s="422">
        <v>41905</v>
      </c>
      <c r="C68" s="316" t="s">
        <v>96</v>
      </c>
      <c r="D68" s="316">
        <v>41905</v>
      </c>
      <c r="E68" s="424" t="s">
        <v>337</v>
      </c>
      <c r="F68" s="75">
        <v>9000000</v>
      </c>
      <c r="G68" s="432" t="s">
        <v>23</v>
      </c>
      <c r="H68" s="425" t="s">
        <v>120</v>
      </c>
      <c r="I68" s="73">
        <f t="shared" si="41"/>
        <v>58</v>
      </c>
      <c r="J68" s="426">
        <f t="shared" si="1"/>
        <v>0</v>
      </c>
      <c r="K68" s="426">
        <f t="shared" si="2"/>
        <v>9000000</v>
      </c>
      <c r="L68" s="426">
        <f t="shared" si="3"/>
        <v>0</v>
      </c>
      <c r="M68" s="426">
        <f t="shared" si="4"/>
        <v>0</v>
      </c>
      <c r="N68" s="426">
        <f t="shared" si="5"/>
        <v>0</v>
      </c>
      <c r="O68" s="426">
        <f t="shared" si="6"/>
        <v>0</v>
      </c>
      <c r="P68" s="426">
        <f t="shared" si="7"/>
        <v>0</v>
      </c>
      <c r="Q68" s="426">
        <f t="shared" si="8"/>
        <v>0</v>
      </c>
      <c r="R68" s="426">
        <f t="shared" si="39"/>
        <v>0</v>
      </c>
      <c r="S68" s="426">
        <f t="shared" si="40"/>
        <v>0</v>
      </c>
      <c r="T68" s="426">
        <f t="shared" si="9"/>
        <v>0</v>
      </c>
      <c r="U68" s="426">
        <f t="shared" si="10"/>
        <v>0</v>
      </c>
      <c r="V68" s="426">
        <f t="shared" si="11"/>
        <v>0</v>
      </c>
      <c r="W68" s="426">
        <f t="shared" si="12"/>
        <v>0</v>
      </c>
      <c r="X68" s="426">
        <f t="shared" si="13"/>
        <v>0</v>
      </c>
      <c r="Y68" s="426">
        <f t="shared" si="14"/>
        <v>0</v>
      </c>
      <c r="Z68" s="426">
        <f t="shared" si="15"/>
        <v>9000000</v>
      </c>
      <c r="AA68" s="426">
        <f t="shared" si="16"/>
        <v>0</v>
      </c>
      <c r="AB68" s="426">
        <f t="shared" si="17"/>
        <v>0</v>
      </c>
      <c r="AC68" s="426">
        <f t="shared" si="18"/>
        <v>0</v>
      </c>
      <c r="AD68" s="426">
        <f t="shared" si="19"/>
        <v>0</v>
      </c>
      <c r="AE68" s="426">
        <f t="shared" si="20"/>
        <v>0</v>
      </c>
      <c r="AF68" s="426">
        <f t="shared" si="21"/>
        <v>0</v>
      </c>
      <c r="AG68" s="426">
        <f t="shared" si="22"/>
        <v>0</v>
      </c>
      <c r="AH68" s="426">
        <f t="shared" si="23"/>
        <v>0</v>
      </c>
      <c r="AI68" s="426">
        <f t="shared" si="24"/>
        <v>0</v>
      </c>
      <c r="AJ68" s="426">
        <f t="shared" si="25"/>
        <v>0</v>
      </c>
      <c r="AK68" s="426">
        <f t="shared" si="26"/>
        <v>0</v>
      </c>
      <c r="AL68" s="426">
        <f t="shared" si="27"/>
        <v>0</v>
      </c>
      <c r="AM68" s="426">
        <f t="shared" si="28"/>
        <v>0</v>
      </c>
      <c r="AN68" s="426">
        <f t="shared" si="29"/>
        <v>0</v>
      </c>
      <c r="AO68" s="426">
        <f t="shared" si="30"/>
        <v>0</v>
      </c>
      <c r="AP68" s="426">
        <f t="shared" si="31"/>
        <v>0</v>
      </c>
      <c r="AQ68" s="426">
        <f t="shared" si="32"/>
        <v>0</v>
      </c>
      <c r="AR68" s="426">
        <f t="shared" si="33"/>
        <v>0</v>
      </c>
      <c r="AS68" s="426">
        <f t="shared" si="34"/>
        <v>0</v>
      </c>
      <c r="AT68" s="426">
        <f t="shared" si="35"/>
        <v>0</v>
      </c>
      <c r="AU68" s="426">
        <f t="shared" si="36"/>
        <v>0</v>
      </c>
      <c r="AV68" s="426">
        <f t="shared" si="37"/>
        <v>0</v>
      </c>
      <c r="AW68" s="426">
        <f t="shared" si="38"/>
        <v>0</v>
      </c>
    </row>
    <row r="69" spans="1:49" s="421" customFormat="1" ht="12" customHeight="1">
      <c r="A69" s="73">
        <f t="array" ref="A69">IF(C69&lt;&gt;0,SUM(($C$11:C69&lt;&gt;0)*1),"")</f>
        <v>59</v>
      </c>
      <c r="B69" s="422">
        <v>41906</v>
      </c>
      <c r="C69" s="316" t="s">
        <v>8</v>
      </c>
      <c r="D69" s="316">
        <v>41906</v>
      </c>
      <c r="E69" s="424" t="s">
        <v>374</v>
      </c>
      <c r="F69" s="75">
        <v>20000</v>
      </c>
      <c r="G69" s="432" t="s">
        <v>348</v>
      </c>
      <c r="H69" s="425" t="s">
        <v>34</v>
      </c>
      <c r="I69" s="73">
        <f t="shared" si="41"/>
        <v>59</v>
      </c>
      <c r="J69" s="426">
        <f t="shared" si="1"/>
        <v>0</v>
      </c>
      <c r="K69" s="426">
        <f t="shared" si="2"/>
        <v>0</v>
      </c>
      <c r="L69" s="426">
        <f t="shared" si="3"/>
        <v>0</v>
      </c>
      <c r="M69" s="426">
        <f t="shared" si="4"/>
        <v>20000</v>
      </c>
      <c r="N69" s="426">
        <f t="shared" si="5"/>
        <v>0</v>
      </c>
      <c r="O69" s="426">
        <f t="shared" si="6"/>
        <v>0</v>
      </c>
      <c r="P69" s="426">
        <f t="shared" si="7"/>
        <v>0</v>
      </c>
      <c r="Q69" s="426">
        <f t="shared" si="8"/>
        <v>0</v>
      </c>
      <c r="R69" s="426">
        <f t="shared" si="39"/>
        <v>0</v>
      </c>
      <c r="S69" s="426">
        <f t="shared" si="40"/>
        <v>0</v>
      </c>
      <c r="T69" s="426">
        <f t="shared" si="9"/>
        <v>0</v>
      </c>
      <c r="U69" s="426">
        <f t="shared" si="10"/>
        <v>0</v>
      </c>
      <c r="V69" s="426">
        <f t="shared" si="11"/>
        <v>0</v>
      </c>
      <c r="W69" s="426">
        <f t="shared" si="12"/>
        <v>0</v>
      </c>
      <c r="X69" s="426">
        <f t="shared" si="13"/>
        <v>0</v>
      </c>
      <c r="Y69" s="426">
        <f t="shared" si="14"/>
        <v>0</v>
      </c>
      <c r="Z69" s="426">
        <f t="shared" si="15"/>
        <v>0</v>
      </c>
      <c r="AA69" s="426">
        <f t="shared" si="16"/>
        <v>0</v>
      </c>
      <c r="AB69" s="426">
        <f t="shared" si="17"/>
        <v>0</v>
      </c>
      <c r="AC69" s="426">
        <f t="shared" si="18"/>
        <v>0</v>
      </c>
      <c r="AD69" s="426">
        <f t="shared" si="19"/>
        <v>0</v>
      </c>
      <c r="AE69" s="426">
        <f t="shared" si="20"/>
        <v>0</v>
      </c>
      <c r="AF69" s="426">
        <f t="shared" si="21"/>
        <v>0</v>
      </c>
      <c r="AG69" s="426">
        <f t="shared" si="22"/>
        <v>0</v>
      </c>
      <c r="AH69" s="426">
        <f t="shared" si="23"/>
        <v>0</v>
      </c>
      <c r="AI69" s="426">
        <f t="shared" si="24"/>
        <v>0</v>
      </c>
      <c r="AJ69" s="426">
        <f t="shared" si="25"/>
        <v>0</v>
      </c>
      <c r="AK69" s="426">
        <f t="shared" si="26"/>
        <v>0</v>
      </c>
      <c r="AL69" s="426">
        <f t="shared" si="27"/>
        <v>0</v>
      </c>
      <c r="AM69" s="426">
        <f t="shared" si="28"/>
        <v>0</v>
      </c>
      <c r="AN69" s="426">
        <f t="shared" si="29"/>
        <v>0</v>
      </c>
      <c r="AO69" s="426">
        <f t="shared" si="30"/>
        <v>0</v>
      </c>
      <c r="AP69" s="426">
        <f t="shared" si="31"/>
        <v>0</v>
      </c>
      <c r="AQ69" s="426">
        <f t="shared" si="32"/>
        <v>0</v>
      </c>
      <c r="AR69" s="426">
        <f t="shared" si="33"/>
        <v>0</v>
      </c>
      <c r="AS69" s="426">
        <f t="shared" si="34"/>
        <v>0</v>
      </c>
      <c r="AT69" s="426">
        <f t="shared" si="35"/>
        <v>0</v>
      </c>
      <c r="AU69" s="426">
        <f t="shared" si="36"/>
        <v>0</v>
      </c>
      <c r="AV69" s="426">
        <f t="shared" si="37"/>
        <v>0</v>
      </c>
      <c r="AW69" s="426">
        <f t="shared" si="38"/>
        <v>0</v>
      </c>
    </row>
    <row r="70" spans="1:49" s="421" customFormat="1" ht="12" customHeight="1">
      <c r="A70" s="73">
        <f t="array" ref="A70">IF(C70&lt;&gt;0,SUM(($C$11:C70&lt;&gt;0)*1),"")</f>
        <v>60</v>
      </c>
      <c r="B70" s="422">
        <v>41906</v>
      </c>
      <c r="C70" s="316" t="s">
        <v>8</v>
      </c>
      <c r="D70" s="316">
        <v>41906</v>
      </c>
      <c r="E70" s="423" t="s">
        <v>414</v>
      </c>
      <c r="F70" s="75">
        <v>2000</v>
      </c>
      <c r="G70" s="432" t="s">
        <v>10</v>
      </c>
      <c r="H70" s="425" t="s">
        <v>34</v>
      </c>
      <c r="I70" s="73">
        <f t="shared" si="41"/>
        <v>60</v>
      </c>
      <c r="J70" s="426">
        <f t="shared" si="1"/>
        <v>0</v>
      </c>
      <c r="K70" s="426">
        <f t="shared" si="2"/>
        <v>0</v>
      </c>
      <c r="L70" s="426">
        <f t="shared" si="3"/>
        <v>0</v>
      </c>
      <c r="M70" s="426">
        <f t="shared" si="4"/>
        <v>2000</v>
      </c>
      <c r="N70" s="426">
        <f t="shared" si="5"/>
        <v>2000</v>
      </c>
      <c r="O70" s="426">
        <f t="shared" si="6"/>
        <v>0</v>
      </c>
      <c r="P70" s="426">
        <f t="shared" si="7"/>
        <v>0</v>
      </c>
      <c r="Q70" s="426">
        <f t="shared" si="8"/>
        <v>0</v>
      </c>
      <c r="R70" s="426">
        <f t="shared" si="39"/>
        <v>0</v>
      </c>
      <c r="S70" s="426">
        <f t="shared" si="40"/>
        <v>0</v>
      </c>
      <c r="T70" s="426">
        <f t="shared" si="9"/>
        <v>0</v>
      </c>
      <c r="U70" s="426">
        <f t="shared" si="10"/>
        <v>0</v>
      </c>
      <c r="V70" s="426">
        <f t="shared" si="11"/>
        <v>0</v>
      </c>
      <c r="W70" s="426">
        <f t="shared" si="12"/>
        <v>0</v>
      </c>
      <c r="X70" s="426">
        <f t="shared" si="13"/>
        <v>0</v>
      </c>
      <c r="Y70" s="426">
        <f t="shared" si="14"/>
        <v>0</v>
      </c>
      <c r="Z70" s="426">
        <f t="shared" si="15"/>
        <v>0</v>
      </c>
      <c r="AA70" s="426">
        <f t="shared" si="16"/>
        <v>0</v>
      </c>
      <c r="AB70" s="426">
        <f t="shared" si="17"/>
        <v>0</v>
      </c>
      <c r="AC70" s="426">
        <f t="shared" si="18"/>
        <v>0</v>
      </c>
      <c r="AD70" s="426">
        <f t="shared" si="19"/>
        <v>0</v>
      </c>
      <c r="AE70" s="426">
        <f t="shared" si="20"/>
        <v>0</v>
      </c>
      <c r="AF70" s="426">
        <f t="shared" si="21"/>
        <v>0</v>
      </c>
      <c r="AG70" s="426">
        <f t="shared" si="22"/>
        <v>0</v>
      </c>
      <c r="AH70" s="426">
        <f t="shared" si="23"/>
        <v>0</v>
      </c>
      <c r="AI70" s="426">
        <f t="shared" si="24"/>
        <v>0</v>
      </c>
      <c r="AJ70" s="426">
        <f t="shared" si="25"/>
        <v>0</v>
      </c>
      <c r="AK70" s="426">
        <f t="shared" si="26"/>
        <v>0</v>
      </c>
      <c r="AL70" s="426">
        <f t="shared" si="27"/>
        <v>0</v>
      </c>
      <c r="AM70" s="426">
        <f t="shared" si="28"/>
        <v>0</v>
      </c>
      <c r="AN70" s="426">
        <f t="shared" si="29"/>
        <v>0</v>
      </c>
      <c r="AO70" s="426">
        <f t="shared" si="30"/>
        <v>0</v>
      </c>
      <c r="AP70" s="426">
        <f t="shared" si="31"/>
        <v>0</v>
      </c>
      <c r="AQ70" s="426">
        <f t="shared" si="32"/>
        <v>0</v>
      </c>
      <c r="AR70" s="426">
        <f t="shared" si="33"/>
        <v>0</v>
      </c>
      <c r="AS70" s="426">
        <f t="shared" si="34"/>
        <v>0</v>
      </c>
      <c r="AT70" s="426">
        <f t="shared" si="35"/>
        <v>0</v>
      </c>
      <c r="AU70" s="426">
        <f t="shared" si="36"/>
        <v>0</v>
      </c>
      <c r="AV70" s="426">
        <f t="shared" si="37"/>
        <v>0</v>
      </c>
      <c r="AW70" s="426">
        <f t="shared" si="38"/>
        <v>0</v>
      </c>
    </row>
    <row r="71" spans="1:49" s="421" customFormat="1" ht="12" customHeight="1">
      <c r="A71" s="73">
        <f t="array" ref="A71">IF(C71&lt;&gt;0,SUM(($C$11:C71&lt;&gt;0)*1),"")</f>
        <v>61</v>
      </c>
      <c r="B71" s="422">
        <v>41907</v>
      </c>
      <c r="C71" s="316" t="s">
        <v>8</v>
      </c>
      <c r="D71" s="316">
        <v>41907</v>
      </c>
      <c r="E71" s="423" t="s">
        <v>28</v>
      </c>
      <c r="F71" s="75">
        <v>50000</v>
      </c>
      <c r="G71" s="432" t="s">
        <v>348</v>
      </c>
      <c r="H71" s="425" t="s">
        <v>34</v>
      </c>
      <c r="I71" s="73">
        <f t="shared" si="41"/>
        <v>61</v>
      </c>
      <c r="J71" s="426">
        <f t="shared" si="1"/>
        <v>0</v>
      </c>
      <c r="K71" s="426">
        <f t="shared" si="2"/>
        <v>0</v>
      </c>
      <c r="L71" s="426">
        <f t="shared" si="3"/>
        <v>0</v>
      </c>
      <c r="M71" s="426">
        <f t="shared" si="4"/>
        <v>50000</v>
      </c>
      <c r="N71" s="426">
        <f t="shared" si="5"/>
        <v>0</v>
      </c>
      <c r="O71" s="426">
        <f t="shared" si="6"/>
        <v>0</v>
      </c>
      <c r="P71" s="426">
        <f t="shared" si="7"/>
        <v>0</v>
      </c>
      <c r="Q71" s="426">
        <f t="shared" si="8"/>
        <v>0</v>
      </c>
      <c r="R71" s="426">
        <f t="shared" si="39"/>
        <v>0</v>
      </c>
      <c r="S71" s="426">
        <f t="shared" si="40"/>
        <v>0</v>
      </c>
      <c r="T71" s="426">
        <f t="shared" si="9"/>
        <v>0</v>
      </c>
      <c r="U71" s="426">
        <f t="shared" si="10"/>
        <v>0</v>
      </c>
      <c r="V71" s="426">
        <f t="shared" si="11"/>
        <v>0</v>
      </c>
      <c r="W71" s="426">
        <f t="shared" si="12"/>
        <v>0</v>
      </c>
      <c r="X71" s="426">
        <f t="shared" si="13"/>
        <v>0</v>
      </c>
      <c r="Y71" s="426">
        <f t="shared" si="14"/>
        <v>0</v>
      </c>
      <c r="Z71" s="426">
        <f t="shared" si="15"/>
        <v>0</v>
      </c>
      <c r="AA71" s="426">
        <f t="shared" si="16"/>
        <v>0</v>
      </c>
      <c r="AB71" s="426">
        <f t="shared" si="17"/>
        <v>0</v>
      </c>
      <c r="AC71" s="426">
        <f t="shared" si="18"/>
        <v>0</v>
      </c>
      <c r="AD71" s="426">
        <f t="shared" si="19"/>
        <v>0</v>
      </c>
      <c r="AE71" s="426">
        <f t="shared" si="20"/>
        <v>0</v>
      </c>
      <c r="AF71" s="426">
        <f t="shared" si="21"/>
        <v>0</v>
      </c>
      <c r="AG71" s="426">
        <f t="shared" si="22"/>
        <v>0</v>
      </c>
      <c r="AH71" s="426">
        <f t="shared" si="23"/>
        <v>0</v>
      </c>
      <c r="AI71" s="426">
        <f t="shared" si="24"/>
        <v>0</v>
      </c>
      <c r="AJ71" s="426">
        <f t="shared" si="25"/>
        <v>0</v>
      </c>
      <c r="AK71" s="426">
        <f t="shared" si="26"/>
        <v>0</v>
      </c>
      <c r="AL71" s="426">
        <f t="shared" si="27"/>
        <v>0</v>
      </c>
      <c r="AM71" s="426">
        <f t="shared" si="28"/>
        <v>0</v>
      </c>
      <c r="AN71" s="426">
        <f t="shared" si="29"/>
        <v>0</v>
      </c>
      <c r="AO71" s="426">
        <f t="shared" si="30"/>
        <v>0</v>
      </c>
      <c r="AP71" s="426">
        <f t="shared" si="31"/>
        <v>0</v>
      </c>
      <c r="AQ71" s="426">
        <f t="shared" si="32"/>
        <v>0</v>
      </c>
      <c r="AR71" s="426">
        <f t="shared" si="33"/>
        <v>0</v>
      </c>
      <c r="AS71" s="426">
        <f t="shared" si="34"/>
        <v>0</v>
      </c>
      <c r="AT71" s="426">
        <f t="shared" si="35"/>
        <v>0</v>
      </c>
      <c r="AU71" s="426">
        <f t="shared" si="36"/>
        <v>0</v>
      </c>
      <c r="AV71" s="426">
        <f t="shared" si="37"/>
        <v>0</v>
      </c>
      <c r="AW71" s="426">
        <f t="shared" si="38"/>
        <v>0</v>
      </c>
    </row>
    <row r="72" spans="1:49" s="421" customFormat="1" ht="12" customHeight="1">
      <c r="A72" s="73">
        <f t="array" ref="A72">IF(C72&lt;&gt;0,SUM(($C$11:C72&lt;&gt;0)*1),"")</f>
        <v>62</v>
      </c>
      <c r="B72" s="422">
        <v>41907</v>
      </c>
      <c r="C72" s="316" t="s">
        <v>8</v>
      </c>
      <c r="D72" s="316">
        <v>41907</v>
      </c>
      <c r="E72" s="423" t="s">
        <v>345</v>
      </c>
      <c r="F72" s="75">
        <v>5000</v>
      </c>
      <c r="G72" s="432" t="s">
        <v>10</v>
      </c>
      <c r="H72" s="425" t="s">
        <v>34</v>
      </c>
      <c r="I72" s="73">
        <f t="shared" si="41"/>
        <v>62</v>
      </c>
      <c r="J72" s="426">
        <f t="shared" si="1"/>
        <v>0</v>
      </c>
      <c r="K72" s="426">
        <f t="shared" si="2"/>
        <v>0</v>
      </c>
      <c r="L72" s="426">
        <f t="shared" si="3"/>
        <v>0</v>
      </c>
      <c r="M72" s="426">
        <f t="shared" si="4"/>
        <v>5000</v>
      </c>
      <c r="N72" s="426">
        <f t="shared" si="5"/>
        <v>5000</v>
      </c>
      <c r="O72" s="426">
        <f t="shared" si="6"/>
        <v>0</v>
      </c>
      <c r="P72" s="426">
        <f t="shared" si="7"/>
        <v>0</v>
      </c>
      <c r="Q72" s="426">
        <f t="shared" si="8"/>
        <v>0</v>
      </c>
      <c r="R72" s="426">
        <f t="shared" si="39"/>
        <v>0</v>
      </c>
      <c r="S72" s="426">
        <f t="shared" si="40"/>
        <v>0</v>
      </c>
      <c r="T72" s="426">
        <f t="shared" si="9"/>
        <v>0</v>
      </c>
      <c r="U72" s="426">
        <f t="shared" si="10"/>
        <v>0</v>
      </c>
      <c r="V72" s="426">
        <f t="shared" si="11"/>
        <v>0</v>
      </c>
      <c r="W72" s="426">
        <f t="shared" si="12"/>
        <v>0</v>
      </c>
      <c r="X72" s="426">
        <f t="shared" si="13"/>
        <v>0</v>
      </c>
      <c r="Y72" s="426">
        <f t="shared" si="14"/>
        <v>0</v>
      </c>
      <c r="Z72" s="426">
        <f t="shared" si="15"/>
        <v>0</v>
      </c>
      <c r="AA72" s="426">
        <f t="shared" si="16"/>
        <v>0</v>
      </c>
      <c r="AB72" s="426">
        <f t="shared" si="17"/>
        <v>0</v>
      </c>
      <c r="AC72" s="426">
        <f t="shared" si="18"/>
        <v>0</v>
      </c>
      <c r="AD72" s="426">
        <f t="shared" si="19"/>
        <v>0</v>
      </c>
      <c r="AE72" s="426">
        <f t="shared" si="20"/>
        <v>0</v>
      </c>
      <c r="AF72" s="426">
        <f t="shared" si="21"/>
        <v>0</v>
      </c>
      <c r="AG72" s="426">
        <f t="shared" si="22"/>
        <v>0</v>
      </c>
      <c r="AH72" s="426">
        <f t="shared" si="23"/>
        <v>0</v>
      </c>
      <c r="AI72" s="426">
        <f t="shared" si="24"/>
        <v>0</v>
      </c>
      <c r="AJ72" s="426">
        <f t="shared" si="25"/>
        <v>0</v>
      </c>
      <c r="AK72" s="426">
        <f t="shared" si="26"/>
        <v>0</v>
      </c>
      <c r="AL72" s="426">
        <f t="shared" si="27"/>
        <v>0</v>
      </c>
      <c r="AM72" s="426">
        <f t="shared" si="28"/>
        <v>0</v>
      </c>
      <c r="AN72" s="426">
        <f t="shared" si="29"/>
        <v>0</v>
      </c>
      <c r="AO72" s="426">
        <f t="shared" si="30"/>
        <v>0</v>
      </c>
      <c r="AP72" s="426">
        <f t="shared" si="31"/>
        <v>0</v>
      </c>
      <c r="AQ72" s="426">
        <f t="shared" si="32"/>
        <v>0</v>
      </c>
      <c r="AR72" s="426">
        <f t="shared" si="33"/>
        <v>0</v>
      </c>
      <c r="AS72" s="426">
        <f t="shared" si="34"/>
        <v>0</v>
      </c>
      <c r="AT72" s="426">
        <f t="shared" si="35"/>
        <v>0</v>
      </c>
      <c r="AU72" s="426">
        <f t="shared" si="36"/>
        <v>0</v>
      </c>
      <c r="AV72" s="426">
        <f t="shared" si="37"/>
        <v>0</v>
      </c>
      <c r="AW72" s="426">
        <f t="shared" si="38"/>
        <v>0</v>
      </c>
    </row>
    <row r="73" spans="1:49" s="421" customFormat="1" ht="12" customHeight="1">
      <c r="A73" s="73">
        <f t="array" ref="A73">IF(C73&lt;&gt;0,SUM(($C$11:C73&lt;&gt;0)*1),"")</f>
        <v>63</v>
      </c>
      <c r="B73" s="422">
        <v>41907</v>
      </c>
      <c r="C73" s="316" t="s">
        <v>8</v>
      </c>
      <c r="D73" s="316">
        <v>41907</v>
      </c>
      <c r="E73" s="423" t="s">
        <v>346</v>
      </c>
      <c r="F73" s="75">
        <v>50000</v>
      </c>
      <c r="G73" s="432" t="s">
        <v>348</v>
      </c>
      <c r="H73" s="425" t="s">
        <v>34</v>
      </c>
      <c r="I73" s="73">
        <f t="shared" si="41"/>
        <v>63</v>
      </c>
      <c r="J73" s="426">
        <f t="shared" si="1"/>
        <v>0</v>
      </c>
      <c r="K73" s="426">
        <f t="shared" si="2"/>
        <v>0</v>
      </c>
      <c r="L73" s="426">
        <f t="shared" si="3"/>
        <v>0</v>
      </c>
      <c r="M73" s="426">
        <f t="shared" si="4"/>
        <v>50000</v>
      </c>
      <c r="N73" s="426">
        <f t="shared" si="5"/>
        <v>0</v>
      </c>
      <c r="O73" s="426">
        <f t="shared" si="6"/>
        <v>0</v>
      </c>
      <c r="P73" s="426">
        <f t="shared" si="7"/>
        <v>0</v>
      </c>
      <c r="Q73" s="426">
        <f t="shared" si="8"/>
        <v>0</v>
      </c>
      <c r="R73" s="426">
        <f t="shared" si="39"/>
        <v>0</v>
      </c>
      <c r="S73" s="426">
        <f t="shared" si="40"/>
        <v>0</v>
      </c>
      <c r="T73" s="426">
        <f t="shared" si="9"/>
        <v>0</v>
      </c>
      <c r="U73" s="426">
        <f t="shared" si="10"/>
        <v>0</v>
      </c>
      <c r="V73" s="426">
        <f t="shared" si="11"/>
        <v>0</v>
      </c>
      <c r="W73" s="426">
        <f t="shared" si="12"/>
        <v>0</v>
      </c>
      <c r="X73" s="426">
        <f t="shared" si="13"/>
        <v>0</v>
      </c>
      <c r="Y73" s="426">
        <f t="shared" si="14"/>
        <v>0</v>
      </c>
      <c r="Z73" s="426">
        <f t="shared" si="15"/>
        <v>0</v>
      </c>
      <c r="AA73" s="426">
        <f t="shared" si="16"/>
        <v>0</v>
      </c>
      <c r="AB73" s="426">
        <f t="shared" si="17"/>
        <v>0</v>
      </c>
      <c r="AC73" s="426">
        <f t="shared" si="18"/>
        <v>0</v>
      </c>
      <c r="AD73" s="426">
        <f t="shared" si="19"/>
        <v>0</v>
      </c>
      <c r="AE73" s="426">
        <f t="shared" si="20"/>
        <v>0</v>
      </c>
      <c r="AF73" s="426">
        <f t="shared" si="21"/>
        <v>0</v>
      </c>
      <c r="AG73" s="426">
        <f t="shared" si="22"/>
        <v>0</v>
      </c>
      <c r="AH73" s="426">
        <f t="shared" si="23"/>
        <v>0</v>
      </c>
      <c r="AI73" s="426">
        <f t="shared" si="24"/>
        <v>0</v>
      </c>
      <c r="AJ73" s="426">
        <f t="shared" si="25"/>
        <v>0</v>
      </c>
      <c r="AK73" s="426">
        <f t="shared" si="26"/>
        <v>0</v>
      </c>
      <c r="AL73" s="426">
        <f t="shared" si="27"/>
        <v>0</v>
      </c>
      <c r="AM73" s="426">
        <f t="shared" si="28"/>
        <v>0</v>
      </c>
      <c r="AN73" s="426">
        <f t="shared" si="29"/>
        <v>0</v>
      </c>
      <c r="AO73" s="426">
        <f t="shared" si="30"/>
        <v>0</v>
      </c>
      <c r="AP73" s="426">
        <f t="shared" si="31"/>
        <v>0</v>
      </c>
      <c r="AQ73" s="426">
        <f t="shared" si="32"/>
        <v>0</v>
      </c>
      <c r="AR73" s="426">
        <f t="shared" si="33"/>
        <v>0</v>
      </c>
      <c r="AS73" s="426">
        <f t="shared" si="34"/>
        <v>0</v>
      </c>
      <c r="AT73" s="426">
        <f t="shared" si="35"/>
        <v>0</v>
      </c>
      <c r="AU73" s="426">
        <f t="shared" si="36"/>
        <v>0</v>
      </c>
      <c r="AV73" s="426">
        <f t="shared" si="37"/>
        <v>0</v>
      </c>
      <c r="AW73" s="426">
        <f t="shared" si="38"/>
        <v>0</v>
      </c>
    </row>
    <row r="74" spans="1:49" s="421" customFormat="1" ht="12" customHeight="1">
      <c r="A74" s="73">
        <f t="array" ref="A74">IF(C74&lt;&gt;0,SUM(($C$11:C74&lt;&gt;0)*1),"")</f>
        <v>64</v>
      </c>
      <c r="B74" s="422">
        <v>41907</v>
      </c>
      <c r="C74" s="316" t="s">
        <v>8</v>
      </c>
      <c r="D74" s="316">
        <v>41907</v>
      </c>
      <c r="E74" s="423" t="s">
        <v>345</v>
      </c>
      <c r="F74" s="75">
        <v>5000</v>
      </c>
      <c r="G74" s="432" t="s">
        <v>10</v>
      </c>
      <c r="H74" s="425" t="s">
        <v>34</v>
      </c>
      <c r="I74" s="73">
        <f t="shared" si="41"/>
        <v>64</v>
      </c>
      <c r="J74" s="426">
        <f t="shared" si="1"/>
        <v>0</v>
      </c>
      <c r="K74" s="426">
        <f t="shared" si="2"/>
        <v>0</v>
      </c>
      <c r="L74" s="426">
        <f t="shared" si="3"/>
        <v>0</v>
      </c>
      <c r="M74" s="426">
        <f t="shared" si="4"/>
        <v>5000</v>
      </c>
      <c r="N74" s="426">
        <f t="shared" si="5"/>
        <v>5000</v>
      </c>
      <c r="O74" s="426">
        <f t="shared" si="6"/>
        <v>0</v>
      </c>
      <c r="P74" s="426">
        <f t="shared" si="7"/>
        <v>0</v>
      </c>
      <c r="Q74" s="426">
        <f t="shared" si="8"/>
        <v>0</v>
      </c>
      <c r="R74" s="426">
        <f t="shared" si="39"/>
        <v>0</v>
      </c>
      <c r="S74" s="426">
        <f t="shared" si="40"/>
        <v>0</v>
      </c>
      <c r="T74" s="426">
        <f t="shared" si="9"/>
        <v>0</v>
      </c>
      <c r="U74" s="426">
        <f t="shared" si="10"/>
        <v>0</v>
      </c>
      <c r="V74" s="426">
        <f t="shared" si="11"/>
        <v>0</v>
      </c>
      <c r="W74" s="426">
        <f t="shared" si="12"/>
        <v>0</v>
      </c>
      <c r="X74" s="426">
        <f t="shared" si="13"/>
        <v>0</v>
      </c>
      <c r="Y74" s="426">
        <f t="shared" si="14"/>
        <v>0</v>
      </c>
      <c r="Z74" s="426">
        <f t="shared" si="15"/>
        <v>0</v>
      </c>
      <c r="AA74" s="426">
        <f t="shared" si="16"/>
        <v>0</v>
      </c>
      <c r="AB74" s="426">
        <f t="shared" si="17"/>
        <v>0</v>
      </c>
      <c r="AC74" s="426">
        <f t="shared" si="18"/>
        <v>0</v>
      </c>
      <c r="AD74" s="426">
        <f t="shared" si="19"/>
        <v>0</v>
      </c>
      <c r="AE74" s="426">
        <f t="shared" si="20"/>
        <v>0</v>
      </c>
      <c r="AF74" s="426">
        <f t="shared" si="21"/>
        <v>0</v>
      </c>
      <c r="AG74" s="426">
        <f t="shared" si="22"/>
        <v>0</v>
      </c>
      <c r="AH74" s="426">
        <f t="shared" si="23"/>
        <v>0</v>
      </c>
      <c r="AI74" s="426">
        <f t="shared" si="24"/>
        <v>0</v>
      </c>
      <c r="AJ74" s="426">
        <f t="shared" si="25"/>
        <v>0</v>
      </c>
      <c r="AK74" s="426">
        <f t="shared" si="26"/>
        <v>0</v>
      </c>
      <c r="AL74" s="426">
        <f t="shared" si="27"/>
        <v>0</v>
      </c>
      <c r="AM74" s="426">
        <f t="shared" si="28"/>
        <v>0</v>
      </c>
      <c r="AN74" s="426">
        <f t="shared" si="29"/>
        <v>0</v>
      </c>
      <c r="AO74" s="426">
        <f t="shared" si="30"/>
        <v>0</v>
      </c>
      <c r="AP74" s="426">
        <f t="shared" si="31"/>
        <v>0</v>
      </c>
      <c r="AQ74" s="426">
        <f t="shared" si="32"/>
        <v>0</v>
      </c>
      <c r="AR74" s="426">
        <f t="shared" si="33"/>
        <v>0</v>
      </c>
      <c r="AS74" s="426">
        <f t="shared" si="34"/>
        <v>0</v>
      </c>
      <c r="AT74" s="426">
        <f t="shared" si="35"/>
        <v>0</v>
      </c>
      <c r="AU74" s="426">
        <f t="shared" si="36"/>
        <v>0</v>
      </c>
      <c r="AV74" s="426">
        <f t="shared" si="37"/>
        <v>0</v>
      </c>
      <c r="AW74" s="426">
        <f t="shared" si="38"/>
        <v>0</v>
      </c>
    </row>
    <row r="75" spans="1:49" s="421" customFormat="1" ht="12" customHeight="1">
      <c r="A75" s="73">
        <f t="array" ref="A75">IF(C75&lt;&gt;0,SUM(($C$11:C75&lt;&gt;0)*1),"")</f>
        <v>65</v>
      </c>
      <c r="B75" s="422">
        <v>41907</v>
      </c>
      <c r="C75" s="316" t="s">
        <v>8</v>
      </c>
      <c r="D75" s="316">
        <v>41907</v>
      </c>
      <c r="E75" s="423" t="s">
        <v>29</v>
      </c>
      <c r="F75" s="75">
        <v>50000</v>
      </c>
      <c r="G75" s="425" t="s">
        <v>348</v>
      </c>
      <c r="H75" s="425" t="s">
        <v>34</v>
      </c>
      <c r="I75" s="73">
        <f t="shared" si="41"/>
        <v>65</v>
      </c>
      <c r="J75" s="426">
        <f t="shared" ref="J75:J79" si="42">IF($G75="1111",$F75,0)</f>
        <v>0</v>
      </c>
      <c r="K75" s="426">
        <f t="shared" ref="K75:K79" si="43">IF($H75="1111",$F75,0)</f>
        <v>0</v>
      </c>
      <c r="L75" s="426">
        <f t="shared" ref="L75:L79" si="44">IF($G75="1121",$F75,0)</f>
        <v>0</v>
      </c>
      <c r="M75" s="426">
        <f t="shared" ref="M75:M79" si="45">IF($H75="1121",$F75,0)</f>
        <v>50000</v>
      </c>
      <c r="N75" s="426">
        <f t="shared" ref="N75:N79" si="46">IF($G75="1331",$F75,0)</f>
        <v>0</v>
      </c>
      <c r="O75" s="426">
        <f t="shared" ref="O75:O79" si="47">IF($H75="1331",$F75,0)</f>
        <v>0</v>
      </c>
      <c r="P75" s="426">
        <f t="shared" ref="P75:P79" si="48">IF($G75="1388",$F75,0)</f>
        <v>0</v>
      </c>
      <c r="Q75" s="426">
        <f t="shared" ref="Q75:Q79" si="49">IF($H75="1388",$F75,0)</f>
        <v>0</v>
      </c>
      <c r="R75" s="426">
        <f t="shared" si="39"/>
        <v>0</v>
      </c>
      <c r="S75" s="426">
        <f t="shared" si="40"/>
        <v>0</v>
      </c>
      <c r="T75" s="426">
        <f t="shared" ref="T75:T79" si="50">IF($G75="331",$F75,0)</f>
        <v>0</v>
      </c>
      <c r="U75" s="426">
        <f t="shared" ref="U75:U79" si="51">IF($H75="331",$F75,0)</f>
        <v>0</v>
      </c>
      <c r="V75" s="426">
        <f t="shared" ref="V75:V79" si="52">IF($G75="3334",$F75,0)</f>
        <v>0</v>
      </c>
      <c r="W75" s="426">
        <f t="shared" ref="W75:W79" si="53">IF($H75="3334",$F75,0)</f>
        <v>0</v>
      </c>
      <c r="X75" s="426">
        <f t="shared" ref="X75:X79" si="54">IF($G75="33382",$F75,0)</f>
        <v>0</v>
      </c>
      <c r="Y75" s="426">
        <f t="shared" ref="Y75:Y79" si="55">IF($H75="33382",$F75,0)</f>
        <v>0</v>
      </c>
      <c r="Z75" s="426">
        <f t="shared" ref="Z75:Z79" si="56">IF($G75="3388",$F75,0)</f>
        <v>0</v>
      </c>
      <c r="AA75" s="426">
        <f t="shared" ref="AA75:AA79" si="57">IF($H75="3388",$F75,0)</f>
        <v>0</v>
      </c>
      <c r="AB75" s="426">
        <f t="shared" ref="AB75:AB79" si="58">IF($G75="3411",$F75,0)</f>
        <v>0</v>
      </c>
      <c r="AC75" s="426">
        <f t="shared" ref="AC75:AC79" si="59">IF($H75="3411",$F75,0)</f>
        <v>0</v>
      </c>
      <c r="AD75" s="426">
        <f t="shared" ref="AD75:AD79" si="60">IF($G75="4111",$F75,0)</f>
        <v>0</v>
      </c>
      <c r="AE75" s="426">
        <f t="shared" ref="AE75:AE79" si="61">IF($H75="4111",$F75,0)</f>
        <v>0</v>
      </c>
      <c r="AF75" s="426">
        <f t="shared" ref="AF75:AF79" si="62">IF($G75="4211",$F75,0)</f>
        <v>0</v>
      </c>
      <c r="AG75" s="426">
        <f t="shared" ref="AG75:AG79" si="63">IF($H75="4211",$F75,0)</f>
        <v>0</v>
      </c>
      <c r="AH75" s="426">
        <f t="shared" ref="AH75:AH79" si="64">IF($G75="4212",$F75,0)</f>
        <v>0</v>
      </c>
      <c r="AI75" s="426">
        <f t="shared" ref="AI75:AI79" si="65">IF($H75="4212",$F75,0)</f>
        <v>0</v>
      </c>
      <c r="AJ75" s="426">
        <f t="shared" ref="AJ75:AJ79" si="66">IF($G75="515",$F75,0)</f>
        <v>0</v>
      </c>
      <c r="AK75" s="426">
        <f t="shared" ref="AK75:AK79" si="67">IF($H75="515",$F75,0)</f>
        <v>0</v>
      </c>
      <c r="AL75" s="426">
        <f t="shared" ref="AL75:AL79" si="68">IF($G75="635",$F75,0)</f>
        <v>0</v>
      </c>
      <c r="AM75" s="426">
        <f t="shared" ref="AM75:AM79" si="69">IF($H75="635",$F75,0)</f>
        <v>0</v>
      </c>
      <c r="AN75" s="426">
        <f t="shared" ref="AN75:AN79" si="70">IF($G75="642",$F75,0)</f>
        <v>0</v>
      </c>
      <c r="AO75" s="426">
        <f t="shared" ref="AO75:AO79" si="71">IF($H75="642",$F75,0)</f>
        <v>0</v>
      </c>
      <c r="AP75" s="426">
        <f t="shared" ref="AP75:AP79" si="72">IF($G75="711",$F75,0)</f>
        <v>0</v>
      </c>
      <c r="AQ75" s="426">
        <f t="shared" ref="AQ75:AQ79" si="73">IF($H75="711",$F75,0)</f>
        <v>0</v>
      </c>
      <c r="AR75" s="426">
        <f t="shared" ref="AR75:AR79" si="74">IF($G75="811",$F75,0)</f>
        <v>0</v>
      </c>
      <c r="AS75" s="426">
        <f t="shared" ref="AS75:AS79" si="75">IF($H75="811",$F75,0)</f>
        <v>0</v>
      </c>
      <c r="AT75" s="426">
        <f t="shared" ref="AT75:AT79" si="76">IF($G75="821",$F75,0)</f>
        <v>0</v>
      </c>
      <c r="AU75" s="426">
        <f t="shared" ref="AU75:AU79" si="77">IF($H75="821",$F75,0)</f>
        <v>0</v>
      </c>
      <c r="AV75" s="426">
        <f t="shared" ref="AV75:AV79" si="78">IF($G75="911",$F75,0)</f>
        <v>0</v>
      </c>
      <c r="AW75" s="426">
        <f t="shared" ref="AW75:AW79" si="79">IF($H75="911",$F75,0)</f>
        <v>0</v>
      </c>
    </row>
    <row r="76" spans="1:49" s="421" customFormat="1" ht="12" customHeight="1">
      <c r="A76" s="73">
        <f t="array" ref="A76">IF(C76&lt;&gt;0,SUM(($C$11:C76&lt;&gt;0)*1),"")</f>
        <v>66</v>
      </c>
      <c r="B76" s="422">
        <v>41907</v>
      </c>
      <c r="C76" s="316" t="s">
        <v>8</v>
      </c>
      <c r="D76" s="316">
        <v>41907</v>
      </c>
      <c r="E76" s="423" t="s">
        <v>345</v>
      </c>
      <c r="F76" s="75">
        <v>5000</v>
      </c>
      <c r="G76" s="432" t="s">
        <v>10</v>
      </c>
      <c r="H76" s="425" t="s">
        <v>34</v>
      </c>
      <c r="I76" s="73">
        <f t="shared" si="41"/>
        <v>66</v>
      </c>
      <c r="J76" s="426">
        <f t="shared" si="42"/>
        <v>0</v>
      </c>
      <c r="K76" s="426">
        <f t="shared" si="43"/>
        <v>0</v>
      </c>
      <c r="L76" s="426">
        <f t="shared" si="44"/>
        <v>0</v>
      </c>
      <c r="M76" s="426">
        <f t="shared" si="45"/>
        <v>5000</v>
      </c>
      <c r="N76" s="426">
        <f t="shared" si="46"/>
        <v>5000</v>
      </c>
      <c r="O76" s="426">
        <f t="shared" si="47"/>
        <v>0</v>
      </c>
      <c r="P76" s="426">
        <f t="shared" si="48"/>
        <v>0</v>
      </c>
      <c r="Q76" s="426">
        <f t="shared" si="49"/>
        <v>0</v>
      </c>
      <c r="R76" s="426">
        <f t="shared" ref="R76:R79" si="80">IF($G76="2412",$F76,0)</f>
        <v>0</v>
      </c>
      <c r="S76" s="426">
        <f t="shared" ref="S76:S79" si="81">IF($H76="2412",$F76,0)</f>
        <v>0</v>
      </c>
      <c r="T76" s="426">
        <f t="shared" si="50"/>
        <v>0</v>
      </c>
      <c r="U76" s="426">
        <f t="shared" si="51"/>
        <v>0</v>
      </c>
      <c r="V76" s="426">
        <f t="shared" si="52"/>
        <v>0</v>
      </c>
      <c r="W76" s="426">
        <f t="shared" si="53"/>
        <v>0</v>
      </c>
      <c r="X76" s="426">
        <f t="shared" si="54"/>
        <v>0</v>
      </c>
      <c r="Y76" s="426">
        <f t="shared" si="55"/>
        <v>0</v>
      </c>
      <c r="Z76" s="426">
        <f t="shared" si="56"/>
        <v>0</v>
      </c>
      <c r="AA76" s="426">
        <f t="shared" si="57"/>
        <v>0</v>
      </c>
      <c r="AB76" s="426">
        <f t="shared" si="58"/>
        <v>0</v>
      </c>
      <c r="AC76" s="426">
        <f t="shared" si="59"/>
        <v>0</v>
      </c>
      <c r="AD76" s="426">
        <f t="shared" si="60"/>
        <v>0</v>
      </c>
      <c r="AE76" s="426">
        <f t="shared" si="61"/>
        <v>0</v>
      </c>
      <c r="AF76" s="426">
        <f t="shared" si="62"/>
        <v>0</v>
      </c>
      <c r="AG76" s="426">
        <f t="shared" si="63"/>
        <v>0</v>
      </c>
      <c r="AH76" s="426">
        <f t="shared" si="64"/>
        <v>0</v>
      </c>
      <c r="AI76" s="426">
        <f t="shared" si="65"/>
        <v>0</v>
      </c>
      <c r="AJ76" s="426">
        <f t="shared" si="66"/>
        <v>0</v>
      </c>
      <c r="AK76" s="426">
        <f t="shared" si="67"/>
        <v>0</v>
      </c>
      <c r="AL76" s="426">
        <f t="shared" si="68"/>
        <v>0</v>
      </c>
      <c r="AM76" s="426">
        <f t="shared" si="69"/>
        <v>0</v>
      </c>
      <c r="AN76" s="426">
        <f t="shared" si="70"/>
        <v>0</v>
      </c>
      <c r="AO76" s="426">
        <f t="shared" si="71"/>
        <v>0</v>
      </c>
      <c r="AP76" s="426">
        <f t="shared" si="72"/>
        <v>0</v>
      </c>
      <c r="AQ76" s="426">
        <f t="shared" si="73"/>
        <v>0</v>
      </c>
      <c r="AR76" s="426">
        <f t="shared" si="74"/>
        <v>0</v>
      </c>
      <c r="AS76" s="426">
        <f t="shared" si="75"/>
        <v>0</v>
      </c>
      <c r="AT76" s="426">
        <f t="shared" si="76"/>
        <v>0</v>
      </c>
      <c r="AU76" s="426">
        <f t="shared" si="77"/>
        <v>0</v>
      </c>
      <c r="AV76" s="426">
        <f t="shared" si="78"/>
        <v>0</v>
      </c>
      <c r="AW76" s="426">
        <f t="shared" si="79"/>
        <v>0</v>
      </c>
    </row>
    <row r="77" spans="1:49" s="421" customFormat="1" ht="12" customHeight="1">
      <c r="A77" s="73">
        <f t="array" ref="A77">IF(C77&lt;&gt;0,SUM(($C$11:C77&lt;&gt;0)*1),"")</f>
        <v>67</v>
      </c>
      <c r="B77" s="422">
        <v>41907</v>
      </c>
      <c r="C77" s="316" t="s">
        <v>11</v>
      </c>
      <c r="D77" s="316">
        <v>41907</v>
      </c>
      <c r="E77" s="423" t="s">
        <v>66</v>
      </c>
      <c r="F77" s="75">
        <v>199881</v>
      </c>
      <c r="G77" s="432" t="s">
        <v>34</v>
      </c>
      <c r="H77" s="425" t="s">
        <v>67</v>
      </c>
      <c r="I77" s="73">
        <f t="shared" si="41"/>
        <v>67</v>
      </c>
      <c r="J77" s="426">
        <f t="shared" si="42"/>
        <v>0</v>
      </c>
      <c r="K77" s="426">
        <f t="shared" si="43"/>
        <v>0</v>
      </c>
      <c r="L77" s="426">
        <f t="shared" si="44"/>
        <v>199881</v>
      </c>
      <c r="M77" s="426">
        <f t="shared" si="45"/>
        <v>0</v>
      </c>
      <c r="N77" s="426">
        <f t="shared" si="46"/>
        <v>0</v>
      </c>
      <c r="O77" s="426">
        <f t="shared" si="47"/>
        <v>0</v>
      </c>
      <c r="P77" s="426">
        <f t="shared" si="48"/>
        <v>0</v>
      </c>
      <c r="Q77" s="426">
        <f t="shared" si="49"/>
        <v>0</v>
      </c>
      <c r="R77" s="426">
        <f t="shared" si="80"/>
        <v>0</v>
      </c>
      <c r="S77" s="426">
        <f t="shared" si="81"/>
        <v>0</v>
      </c>
      <c r="T77" s="426">
        <f t="shared" si="50"/>
        <v>0</v>
      </c>
      <c r="U77" s="426">
        <f t="shared" si="51"/>
        <v>0</v>
      </c>
      <c r="V77" s="426">
        <f t="shared" si="52"/>
        <v>0</v>
      </c>
      <c r="W77" s="426">
        <f t="shared" si="53"/>
        <v>0</v>
      </c>
      <c r="X77" s="426">
        <f t="shared" si="54"/>
        <v>0</v>
      </c>
      <c r="Y77" s="426">
        <f t="shared" si="55"/>
        <v>0</v>
      </c>
      <c r="Z77" s="426">
        <f t="shared" si="56"/>
        <v>0</v>
      </c>
      <c r="AA77" s="426">
        <f t="shared" si="57"/>
        <v>0</v>
      </c>
      <c r="AB77" s="426">
        <f t="shared" si="58"/>
        <v>0</v>
      </c>
      <c r="AC77" s="426">
        <f t="shared" si="59"/>
        <v>0</v>
      </c>
      <c r="AD77" s="426">
        <f t="shared" si="60"/>
        <v>0</v>
      </c>
      <c r="AE77" s="426">
        <f t="shared" si="61"/>
        <v>0</v>
      </c>
      <c r="AF77" s="426">
        <f t="shared" si="62"/>
        <v>0</v>
      </c>
      <c r="AG77" s="426">
        <f t="shared" si="63"/>
        <v>0</v>
      </c>
      <c r="AH77" s="426">
        <f t="shared" si="64"/>
        <v>0</v>
      </c>
      <c r="AI77" s="426">
        <f t="shared" si="65"/>
        <v>0</v>
      </c>
      <c r="AJ77" s="426">
        <f t="shared" si="66"/>
        <v>0</v>
      </c>
      <c r="AK77" s="426">
        <f t="shared" si="67"/>
        <v>199881</v>
      </c>
      <c r="AL77" s="426">
        <f t="shared" si="68"/>
        <v>0</v>
      </c>
      <c r="AM77" s="426">
        <f t="shared" si="69"/>
        <v>0</v>
      </c>
      <c r="AN77" s="426">
        <f t="shared" si="70"/>
        <v>0</v>
      </c>
      <c r="AO77" s="426">
        <f t="shared" si="71"/>
        <v>0</v>
      </c>
      <c r="AP77" s="426">
        <f t="shared" si="72"/>
        <v>0</v>
      </c>
      <c r="AQ77" s="426">
        <f t="shared" si="73"/>
        <v>0</v>
      </c>
      <c r="AR77" s="426">
        <f t="shared" si="74"/>
        <v>0</v>
      </c>
      <c r="AS77" s="426">
        <f t="shared" si="75"/>
        <v>0</v>
      </c>
      <c r="AT77" s="426">
        <f t="shared" si="76"/>
        <v>0</v>
      </c>
      <c r="AU77" s="426">
        <f t="shared" si="77"/>
        <v>0</v>
      </c>
      <c r="AV77" s="426">
        <f t="shared" si="78"/>
        <v>0</v>
      </c>
      <c r="AW77" s="426">
        <f t="shared" si="79"/>
        <v>0</v>
      </c>
    </row>
    <row r="78" spans="1:49" s="421" customFormat="1" ht="12" customHeight="1">
      <c r="A78" s="73">
        <f t="array" ref="A78">IF(C78&lt;&gt;0,SUM(($C$11:C78&lt;&gt;0)*1),"")</f>
        <v>68</v>
      </c>
      <c r="B78" s="422">
        <v>41907</v>
      </c>
      <c r="C78" s="316" t="s">
        <v>8</v>
      </c>
      <c r="D78" s="316">
        <v>41907</v>
      </c>
      <c r="E78" s="423" t="s">
        <v>374</v>
      </c>
      <c r="F78" s="75">
        <v>20000</v>
      </c>
      <c r="G78" s="425" t="s">
        <v>348</v>
      </c>
      <c r="H78" s="425" t="s">
        <v>34</v>
      </c>
      <c r="I78" s="73">
        <f t="shared" si="41"/>
        <v>68</v>
      </c>
      <c r="J78" s="426">
        <f t="shared" si="42"/>
        <v>0</v>
      </c>
      <c r="K78" s="426">
        <f t="shared" si="43"/>
        <v>0</v>
      </c>
      <c r="L78" s="426">
        <f t="shared" si="44"/>
        <v>0</v>
      </c>
      <c r="M78" s="426">
        <f t="shared" si="45"/>
        <v>20000</v>
      </c>
      <c r="N78" s="426">
        <f t="shared" si="46"/>
        <v>0</v>
      </c>
      <c r="O78" s="426">
        <f t="shared" si="47"/>
        <v>0</v>
      </c>
      <c r="P78" s="426">
        <f t="shared" si="48"/>
        <v>0</v>
      </c>
      <c r="Q78" s="426">
        <f t="shared" si="49"/>
        <v>0</v>
      </c>
      <c r="R78" s="426">
        <f t="shared" si="80"/>
        <v>0</v>
      </c>
      <c r="S78" s="426">
        <f t="shared" si="81"/>
        <v>0</v>
      </c>
      <c r="T78" s="426">
        <f t="shared" si="50"/>
        <v>0</v>
      </c>
      <c r="U78" s="426">
        <f t="shared" si="51"/>
        <v>0</v>
      </c>
      <c r="V78" s="426">
        <f t="shared" si="52"/>
        <v>0</v>
      </c>
      <c r="W78" s="426">
        <f t="shared" si="53"/>
        <v>0</v>
      </c>
      <c r="X78" s="426">
        <f t="shared" si="54"/>
        <v>0</v>
      </c>
      <c r="Y78" s="426">
        <f t="shared" si="55"/>
        <v>0</v>
      </c>
      <c r="Z78" s="426">
        <f t="shared" si="56"/>
        <v>0</v>
      </c>
      <c r="AA78" s="426">
        <f t="shared" si="57"/>
        <v>0</v>
      </c>
      <c r="AB78" s="426">
        <f t="shared" si="58"/>
        <v>0</v>
      </c>
      <c r="AC78" s="426">
        <f t="shared" si="59"/>
        <v>0</v>
      </c>
      <c r="AD78" s="426">
        <f t="shared" si="60"/>
        <v>0</v>
      </c>
      <c r="AE78" s="426">
        <f t="shared" si="61"/>
        <v>0</v>
      </c>
      <c r="AF78" s="426">
        <f t="shared" si="62"/>
        <v>0</v>
      </c>
      <c r="AG78" s="426">
        <f t="shared" si="63"/>
        <v>0</v>
      </c>
      <c r="AH78" s="426">
        <f t="shared" si="64"/>
        <v>0</v>
      </c>
      <c r="AI78" s="426">
        <f t="shared" si="65"/>
        <v>0</v>
      </c>
      <c r="AJ78" s="426">
        <f t="shared" si="66"/>
        <v>0</v>
      </c>
      <c r="AK78" s="426">
        <f t="shared" si="67"/>
        <v>0</v>
      </c>
      <c r="AL78" s="426">
        <f t="shared" si="68"/>
        <v>0</v>
      </c>
      <c r="AM78" s="426">
        <f t="shared" si="69"/>
        <v>0</v>
      </c>
      <c r="AN78" s="426">
        <f t="shared" si="70"/>
        <v>0</v>
      </c>
      <c r="AO78" s="426">
        <f t="shared" si="71"/>
        <v>0</v>
      </c>
      <c r="AP78" s="426">
        <f t="shared" si="72"/>
        <v>0</v>
      </c>
      <c r="AQ78" s="426">
        <f t="shared" si="73"/>
        <v>0</v>
      </c>
      <c r="AR78" s="426">
        <f t="shared" si="74"/>
        <v>0</v>
      </c>
      <c r="AS78" s="426">
        <f t="shared" si="75"/>
        <v>0</v>
      </c>
      <c r="AT78" s="426">
        <f t="shared" si="76"/>
        <v>0</v>
      </c>
      <c r="AU78" s="426">
        <f t="shared" si="77"/>
        <v>0</v>
      </c>
      <c r="AV78" s="426">
        <f t="shared" si="78"/>
        <v>0</v>
      </c>
      <c r="AW78" s="426">
        <f t="shared" si="79"/>
        <v>0</v>
      </c>
    </row>
    <row r="79" spans="1:49" s="421" customFormat="1" ht="12" customHeight="1">
      <c r="A79" s="73">
        <f t="array" ref="A79">IF(C79&lt;&gt;0,SUM(($C$11:C79&lt;&gt;0)*1),"")</f>
        <v>69</v>
      </c>
      <c r="B79" s="422">
        <v>41907</v>
      </c>
      <c r="C79" s="316" t="s">
        <v>8</v>
      </c>
      <c r="D79" s="316">
        <v>41907</v>
      </c>
      <c r="E79" s="423" t="s">
        <v>414</v>
      </c>
      <c r="F79" s="75">
        <v>2000</v>
      </c>
      <c r="G79" s="432" t="s">
        <v>10</v>
      </c>
      <c r="H79" s="425" t="s">
        <v>34</v>
      </c>
      <c r="I79" s="73">
        <f t="shared" si="41"/>
        <v>69</v>
      </c>
      <c r="J79" s="426">
        <f t="shared" si="42"/>
        <v>0</v>
      </c>
      <c r="K79" s="426">
        <f t="shared" si="43"/>
        <v>0</v>
      </c>
      <c r="L79" s="426">
        <f t="shared" si="44"/>
        <v>0</v>
      </c>
      <c r="M79" s="426">
        <f t="shared" si="45"/>
        <v>2000</v>
      </c>
      <c r="N79" s="426">
        <f t="shared" si="46"/>
        <v>2000</v>
      </c>
      <c r="O79" s="426">
        <f t="shared" si="47"/>
        <v>0</v>
      </c>
      <c r="P79" s="426">
        <f t="shared" si="48"/>
        <v>0</v>
      </c>
      <c r="Q79" s="426">
        <f t="shared" si="49"/>
        <v>0</v>
      </c>
      <c r="R79" s="426">
        <f t="shared" si="80"/>
        <v>0</v>
      </c>
      <c r="S79" s="426">
        <f t="shared" si="81"/>
        <v>0</v>
      </c>
      <c r="T79" s="426">
        <f t="shared" si="50"/>
        <v>0</v>
      </c>
      <c r="U79" s="426">
        <f t="shared" si="51"/>
        <v>0</v>
      </c>
      <c r="V79" s="426">
        <f t="shared" si="52"/>
        <v>0</v>
      </c>
      <c r="W79" s="426">
        <f t="shared" si="53"/>
        <v>0</v>
      </c>
      <c r="X79" s="426">
        <f t="shared" si="54"/>
        <v>0</v>
      </c>
      <c r="Y79" s="426">
        <f t="shared" si="55"/>
        <v>0</v>
      </c>
      <c r="Z79" s="426">
        <f t="shared" si="56"/>
        <v>0</v>
      </c>
      <c r="AA79" s="426">
        <f t="shared" si="57"/>
        <v>0</v>
      </c>
      <c r="AB79" s="426">
        <f t="shared" si="58"/>
        <v>0</v>
      </c>
      <c r="AC79" s="426">
        <f t="shared" si="59"/>
        <v>0</v>
      </c>
      <c r="AD79" s="426">
        <f t="shared" si="60"/>
        <v>0</v>
      </c>
      <c r="AE79" s="426">
        <f t="shared" si="61"/>
        <v>0</v>
      </c>
      <c r="AF79" s="426">
        <f t="shared" si="62"/>
        <v>0</v>
      </c>
      <c r="AG79" s="426">
        <f t="shared" si="63"/>
        <v>0</v>
      </c>
      <c r="AH79" s="426">
        <f t="shared" si="64"/>
        <v>0</v>
      </c>
      <c r="AI79" s="426">
        <f t="shared" si="65"/>
        <v>0</v>
      </c>
      <c r="AJ79" s="426">
        <f t="shared" si="66"/>
        <v>0</v>
      </c>
      <c r="AK79" s="426">
        <f t="shared" si="67"/>
        <v>0</v>
      </c>
      <c r="AL79" s="426">
        <f t="shared" si="68"/>
        <v>0</v>
      </c>
      <c r="AM79" s="426">
        <f t="shared" si="69"/>
        <v>0</v>
      </c>
      <c r="AN79" s="426">
        <f t="shared" si="70"/>
        <v>0</v>
      </c>
      <c r="AO79" s="426">
        <f t="shared" si="71"/>
        <v>0</v>
      </c>
      <c r="AP79" s="426">
        <f t="shared" si="72"/>
        <v>0</v>
      </c>
      <c r="AQ79" s="426">
        <f t="shared" si="73"/>
        <v>0</v>
      </c>
      <c r="AR79" s="426">
        <f t="shared" si="74"/>
        <v>0</v>
      </c>
      <c r="AS79" s="426">
        <f t="shared" si="75"/>
        <v>0</v>
      </c>
      <c r="AT79" s="426">
        <f t="shared" si="76"/>
        <v>0</v>
      </c>
      <c r="AU79" s="426">
        <f t="shared" si="77"/>
        <v>0</v>
      </c>
      <c r="AV79" s="426">
        <f t="shared" si="78"/>
        <v>0</v>
      </c>
      <c r="AW79" s="426">
        <f t="shared" si="79"/>
        <v>0</v>
      </c>
    </row>
    <row r="80" spans="1:49" s="421" customFormat="1" ht="12" customHeight="1">
      <c r="A80" s="73">
        <f t="array" ref="A80">IF(C80&lt;&gt;0,SUM(($C$11:C80&lt;&gt;0)*1),"")</f>
        <v>70</v>
      </c>
      <c r="B80" s="428">
        <v>41912</v>
      </c>
      <c r="C80" s="428" t="s">
        <v>173</v>
      </c>
      <c r="D80" s="428">
        <f t="shared" ref="D80:D86" si="82">B80</f>
        <v>41912</v>
      </c>
      <c r="E80" s="429" t="s">
        <v>174</v>
      </c>
      <c r="F80" s="102">
        <f>AL88</f>
        <v>0</v>
      </c>
      <c r="G80" s="430" t="s">
        <v>167</v>
      </c>
      <c r="H80" s="430" t="s">
        <v>157</v>
      </c>
      <c r="I80" s="73">
        <f t="shared" ref="I80:I87" si="83">A80</f>
        <v>70</v>
      </c>
      <c r="J80" s="426">
        <f t="shared" ref="J80:J87" si="84">IF($G80="1111",$F80,0)</f>
        <v>0</v>
      </c>
      <c r="K80" s="426">
        <f t="shared" ref="K80:K87" si="85">IF($H80="1111",$F80,0)</f>
        <v>0</v>
      </c>
      <c r="L80" s="426">
        <f t="shared" ref="L80:L87" si="86">IF($G80="1121",$F80,0)</f>
        <v>0</v>
      </c>
      <c r="M80" s="426">
        <f t="shared" ref="M80:M87" si="87">IF($H80="1121",$F80,0)</f>
        <v>0</v>
      </c>
      <c r="N80" s="426">
        <f t="shared" ref="N80:N87" si="88">IF($G80="1331",$F80,0)</f>
        <v>0</v>
      </c>
      <c r="O80" s="426">
        <f t="shared" ref="O80:O87" si="89">IF($H80="1331",$F80,0)</f>
        <v>0</v>
      </c>
      <c r="P80" s="426">
        <f t="shared" ref="P80:P87" si="90">IF($G80="1388",$F80,0)</f>
        <v>0</v>
      </c>
      <c r="Q80" s="426">
        <f t="shared" ref="Q80:Q87" si="91">IF($H80="1388",$F80,0)</f>
        <v>0</v>
      </c>
      <c r="R80" s="426">
        <f t="shared" ref="R80:R87" si="92">IF($G80="2412",$F80,0)</f>
        <v>0</v>
      </c>
      <c r="S80" s="426">
        <f t="shared" ref="S80:S87" si="93">IF($H80="2412",$F80,0)</f>
        <v>0</v>
      </c>
      <c r="T80" s="426">
        <f t="shared" ref="T80:T87" si="94">IF($G80="331",$F80,0)</f>
        <v>0</v>
      </c>
      <c r="U80" s="426">
        <f t="shared" ref="U80:U87" si="95">IF($H80="331",$F80,0)</f>
        <v>0</v>
      </c>
      <c r="V80" s="426">
        <f t="shared" ref="V80:V87" si="96">IF($G80="3334",$F80,0)</f>
        <v>0</v>
      </c>
      <c r="W80" s="426">
        <f t="shared" ref="W80:W87" si="97">IF($H80="3334",$F80,0)</f>
        <v>0</v>
      </c>
      <c r="X80" s="426">
        <f t="shared" ref="X80:X87" si="98">IF($G80="33382",$F80,0)</f>
        <v>0</v>
      </c>
      <c r="Y80" s="426">
        <f t="shared" ref="Y80:Y87" si="99">IF($H80="33382",$F80,0)</f>
        <v>0</v>
      </c>
      <c r="Z80" s="426">
        <f t="shared" ref="Z80:Z87" si="100">IF($G80="3388",$F80,0)</f>
        <v>0</v>
      </c>
      <c r="AA80" s="426">
        <f t="shared" ref="AA80:AA87" si="101">IF($H80="3388",$F80,0)</f>
        <v>0</v>
      </c>
      <c r="AB80" s="426">
        <f t="shared" ref="AB80:AB87" si="102">IF($G80="3411",$F80,0)</f>
        <v>0</v>
      </c>
      <c r="AC80" s="426">
        <f t="shared" ref="AC80:AC87" si="103">IF($H80="3411",$F80,0)</f>
        <v>0</v>
      </c>
      <c r="AD80" s="426">
        <f t="shared" ref="AD80:AD87" si="104">IF($G80="4111",$F80,0)</f>
        <v>0</v>
      </c>
      <c r="AE80" s="426">
        <f t="shared" ref="AE80:AE87" si="105">IF($H80="4111",$F80,0)</f>
        <v>0</v>
      </c>
      <c r="AF80" s="426">
        <f t="shared" ref="AF80:AF87" si="106">IF($G80="4211",$F80,0)</f>
        <v>0</v>
      </c>
      <c r="AG80" s="426">
        <f t="shared" ref="AG80:AG87" si="107">IF($H80="4211",$F80,0)</f>
        <v>0</v>
      </c>
      <c r="AH80" s="426">
        <f t="shared" ref="AH80:AH87" si="108">IF($G80="4212",$F80,0)</f>
        <v>0</v>
      </c>
      <c r="AI80" s="426">
        <f t="shared" ref="AI80:AI87" si="109">IF($H80="4212",$F80,0)</f>
        <v>0</v>
      </c>
      <c r="AJ80" s="426">
        <f t="shared" ref="AJ80:AJ87" si="110">IF($G80="515",$F80,0)</f>
        <v>0</v>
      </c>
      <c r="AK80" s="426">
        <f t="shared" ref="AK80:AK87" si="111">IF($H80="515",$F80,0)</f>
        <v>0</v>
      </c>
      <c r="AL80" s="426">
        <f t="shared" ref="AL80:AL87" si="112">IF($G80="635",$F80,0)</f>
        <v>0</v>
      </c>
      <c r="AM80" s="426">
        <f t="shared" ref="AM80:AM87" si="113">IF($H80="635",$F80,0)</f>
        <v>0</v>
      </c>
      <c r="AN80" s="426">
        <f t="shared" ref="AN80:AN87" si="114">IF($G80="642",$F80,0)</f>
        <v>0</v>
      </c>
      <c r="AO80" s="426">
        <f t="shared" ref="AO80:AO87" si="115">IF($H80="642",$F80,0)</f>
        <v>0</v>
      </c>
      <c r="AP80" s="426">
        <f t="shared" ref="AP80:AP87" si="116">IF($G80="711",$F80,0)</f>
        <v>0</v>
      </c>
      <c r="AQ80" s="426">
        <f t="shared" ref="AQ80:AQ87" si="117">IF($H80="711",$F80,0)</f>
        <v>0</v>
      </c>
      <c r="AR80" s="426">
        <f t="shared" ref="AR80:AR87" si="118">IF($G80="811",$F80,0)</f>
        <v>0</v>
      </c>
      <c r="AS80" s="426">
        <f t="shared" ref="AS80:AS87" si="119">IF($H80="811",$F80,0)</f>
        <v>0</v>
      </c>
      <c r="AT80" s="426">
        <f t="shared" ref="AT80:AT87" si="120">IF($G80="821",$F80,0)</f>
        <v>0</v>
      </c>
      <c r="AU80" s="426">
        <f t="shared" ref="AU80:AU87" si="121">IF($H80="821",$F80,0)</f>
        <v>0</v>
      </c>
      <c r="AV80" s="426">
        <f t="shared" ref="AV80:AV87" si="122">IF($G80="911",$F80,0)</f>
        <v>0</v>
      </c>
      <c r="AW80" s="426">
        <f t="shared" ref="AW80:AW87" si="123">IF($H80="911",$F80,0)</f>
        <v>0</v>
      </c>
    </row>
    <row r="81" spans="1:49" s="421" customFormat="1" ht="12" customHeight="1">
      <c r="A81" s="73">
        <f t="array" ref="A81">IF(C81&lt;&gt;0,SUM(($C$11:C81&lt;&gt;0)*1),"")</f>
        <v>71</v>
      </c>
      <c r="B81" s="428">
        <v>41912</v>
      </c>
      <c r="C81" s="428" t="s">
        <v>173</v>
      </c>
      <c r="D81" s="428">
        <f t="shared" si="82"/>
        <v>41912</v>
      </c>
      <c r="E81" s="429" t="s">
        <v>175</v>
      </c>
      <c r="F81" s="102">
        <f>AN88</f>
        <v>0</v>
      </c>
      <c r="G81" s="430" t="s">
        <v>167</v>
      </c>
      <c r="H81" s="430" t="s">
        <v>159</v>
      </c>
      <c r="I81" s="73">
        <f t="shared" si="83"/>
        <v>71</v>
      </c>
      <c r="J81" s="426">
        <f t="shared" si="84"/>
        <v>0</v>
      </c>
      <c r="K81" s="426">
        <f t="shared" si="85"/>
        <v>0</v>
      </c>
      <c r="L81" s="426">
        <f t="shared" si="86"/>
        <v>0</v>
      </c>
      <c r="M81" s="426">
        <f t="shared" si="87"/>
        <v>0</v>
      </c>
      <c r="N81" s="426">
        <f t="shared" si="88"/>
        <v>0</v>
      </c>
      <c r="O81" s="426">
        <f t="shared" si="89"/>
        <v>0</v>
      </c>
      <c r="P81" s="426">
        <f t="shared" si="90"/>
        <v>0</v>
      </c>
      <c r="Q81" s="426">
        <f t="shared" si="91"/>
        <v>0</v>
      </c>
      <c r="R81" s="426">
        <f t="shared" si="92"/>
        <v>0</v>
      </c>
      <c r="S81" s="426">
        <f t="shared" si="93"/>
        <v>0</v>
      </c>
      <c r="T81" s="426">
        <f t="shared" si="94"/>
        <v>0</v>
      </c>
      <c r="U81" s="426">
        <f t="shared" si="95"/>
        <v>0</v>
      </c>
      <c r="V81" s="426">
        <f t="shared" si="96"/>
        <v>0</v>
      </c>
      <c r="W81" s="426">
        <f t="shared" si="97"/>
        <v>0</v>
      </c>
      <c r="X81" s="426">
        <f t="shared" si="98"/>
        <v>0</v>
      </c>
      <c r="Y81" s="426">
        <f t="shared" si="99"/>
        <v>0</v>
      </c>
      <c r="Z81" s="426">
        <f t="shared" si="100"/>
        <v>0</v>
      </c>
      <c r="AA81" s="426">
        <f t="shared" si="101"/>
        <v>0</v>
      </c>
      <c r="AB81" s="426">
        <f t="shared" si="102"/>
        <v>0</v>
      </c>
      <c r="AC81" s="426">
        <f t="shared" si="103"/>
        <v>0</v>
      </c>
      <c r="AD81" s="426">
        <f t="shared" si="104"/>
        <v>0</v>
      </c>
      <c r="AE81" s="426">
        <f t="shared" si="105"/>
        <v>0</v>
      </c>
      <c r="AF81" s="426">
        <f t="shared" si="106"/>
        <v>0</v>
      </c>
      <c r="AG81" s="426">
        <f t="shared" si="107"/>
        <v>0</v>
      </c>
      <c r="AH81" s="426">
        <f t="shared" si="108"/>
        <v>0</v>
      </c>
      <c r="AI81" s="426">
        <f t="shared" si="109"/>
        <v>0</v>
      </c>
      <c r="AJ81" s="426">
        <f t="shared" si="110"/>
        <v>0</v>
      </c>
      <c r="AK81" s="426">
        <f t="shared" si="111"/>
        <v>0</v>
      </c>
      <c r="AL81" s="426">
        <f t="shared" si="112"/>
        <v>0</v>
      </c>
      <c r="AM81" s="426">
        <f t="shared" si="113"/>
        <v>0</v>
      </c>
      <c r="AN81" s="426">
        <f t="shared" si="114"/>
        <v>0</v>
      </c>
      <c r="AO81" s="426">
        <f t="shared" si="115"/>
        <v>0</v>
      </c>
      <c r="AP81" s="426">
        <f t="shared" si="116"/>
        <v>0</v>
      </c>
      <c r="AQ81" s="426">
        <f t="shared" si="117"/>
        <v>0</v>
      </c>
      <c r="AR81" s="426">
        <f t="shared" si="118"/>
        <v>0</v>
      </c>
      <c r="AS81" s="426">
        <f t="shared" si="119"/>
        <v>0</v>
      </c>
      <c r="AT81" s="426">
        <f t="shared" si="120"/>
        <v>0</v>
      </c>
      <c r="AU81" s="426">
        <f t="shared" si="121"/>
        <v>0</v>
      </c>
      <c r="AV81" s="426">
        <f t="shared" si="122"/>
        <v>0</v>
      </c>
      <c r="AW81" s="426">
        <f t="shared" si="123"/>
        <v>0</v>
      </c>
    </row>
    <row r="82" spans="1:49" s="421" customFormat="1" ht="12.75" customHeight="1">
      <c r="A82" s="73">
        <f t="array" ref="A82">IF(C82&lt;&gt;0,SUM(($C$11:C82&lt;&gt;0)*1),"")</f>
        <v>72</v>
      </c>
      <c r="B82" s="428">
        <v>41912</v>
      </c>
      <c r="C82" s="428" t="s">
        <v>173</v>
      </c>
      <c r="D82" s="428">
        <f t="shared" si="82"/>
        <v>41912</v>
      </c>
      <c r="E82" s="429" t="s">
        <v>294</v>
      </c>
      <c r="F82" s="102">
        <f>F83</f>
        <v>0</v>
      </c>
      <c r="G82" s="430" t="s">
        <v>248</v>
      </c>
      <c r="H82" s="430" t="s">
        <v>152</v>
      </c>
      <c r="I82" s="73">
        <f t="shared" si="83"/>
        <v>72</v>
      </c>
      <c r="J82" s="426">
        <f t="shared" si="84"/>
        <v>0</v>
      </c>
      <c r="K82" s="426">
        <f t="shared" si="85"/>
        <v>0</v>
      </c>
      <c r="L82" s="426">
        <f t="shared" si="86"/>
        <v>0</v>
      </c>
      <c r="M82" s="426">
        <f t="shared" si="87"/>
        <v>0</v>
      </c>
      <c r="N82" s="426">
        <f t="shared" si="88"/>
        <v>0</v>
      </c>
      <c r="O82" s="426">
        <f t="shared" si="89"/>
        <v>0</v>
      </c>
      <c r="P82" s="426">
        <f t="shared" si="90"/>
        <v>0</v>
      </c>
      <c r="Q82" s="426">
        <f t="shared" si="91"/>
        <v>0</v>
      </c>
      <c r="R82" s="426">
        <f t="shared" si="92"/>
        <v>0</v>
      </c>
      <c r="S82" s="426">
        <f t="shared" si="93"/>
        <v>0</v>
      </c>
      <c r="T82" s="426">
        <f t="shared" si="94"/>
        <v>0</v>
      </c>
      <c r="U82" s="426">
        <f t="shared" si="95"/>
        <v>0</v>
      </c>
      <c r="V82" s="426">
        <f t="shared" si="96"/>
        <v>0</v>
      </c>
      <c r="W82" s="426">
        <f t="shared" si="97"/>
        <v>0</v>
      </c>
      <c r="X82" s="426">
        <f t="shared" si="98"/>
        <v>0</v>
      </c>
      <c r="Y82" s="426">
        <f t="shared" si="99"/>
        <v>0</v>
      </c>
      <c r="Z82" s="426">
        <f t="shared" si="100"/>
        <v>0</v>
      </c>
      <c r="AA82" s="426">
        <f t="shared" si="101"/>
        <v>0</v>
      </c>
      <c r="AB82" s="426">
        <f t="shared" si="102"/>
        <v>0</v>
      </c>
      <c r="AC82" s="426">
        <f t="shared" si="103"/>
        <v>0</v>
      </c>
      <c r="AD82" s="426">
        <f t="shared" si="104"/>
        <v>0</v>
      </c>
      <c r="AE82" s="426">
        <f t="shared" si="105"/>
        <v>0</v>
      </c>
      <c r="AF82" s="426">
        <f t="shared" si="106"/>
        <v>0</v>
      </c>
      <c r="AG82" s="426">
        <f t="shared" si="107"/>
        <v>0</v>
      </c>
      <c r="AH82" s="426">
        <f t="shared" si="108"/>
        <v>0</v>
      </c>
      <c r="AI82" s="426">
        <f t="shared" si="109"/>
        <v>0</v>
      </c>
      <c r="AJ82" s="426">
        <f t="shared" si="110"/>
        <v>0</v>
      </c>
      <c r="AK82" s="426">
        <f t="shared" si="111"/>
        <v>0</v>
      </c>
      <c r="AL82" s="426">
        <f t="shared" si="112"/>
        <v>0</v>
      </c>
      <c r="AM82" s="426">
        <f t="shared" si="113"/>
        <v>0</v>
      </c>
      <c r="AN82" s="426">
        <f t="shared" si="114"/>
        <v>0</v>
      </c>
      <c r="AO82" s="426">
        <f t="shared" si="115"/>
        <v>0</v>
      </c>
      <c r="AP82" s="426">
        <f t="shared" si="116"/>
        <v>0</v>
      </c>
      <c r="AQ82" s="426">
        <f t="shared" si="117"/>
        <v>0</v>
      </c>
      <c r="AR82" s="426">
        <f t="shared" si="118"/>
        <v>0</v>
      </c>
      <c r="AS82" s="426">
        <f t="shared" si="119"/>
        <v>0</v>
      </c>
      <c r="AT82" s="426">
        <f t="shared" si="120"/>
        <v>0</v>
      </c>
      <c r="AU82" s="426">
        <f t="shared" si="121"/>
        <v>0</v>
      </c>
      <c r="AV82" s="426">
        <f t="shared" si="122"/>
        <v>0</v>
      </c>
      <c r="AW82" s="426">
        <f t="shared" si="123"/>
        <v>0</v>
      </c>
    </row>
    <row r="83" spans="1:49" s="421" customFormat="1" ht="12" customHeight="1">
      <c r="A83" s="73">
        <f t="array" ref="A83">IF(C83&lt;&gt;0,SUM(($C$11:C83&lt;&gt;0)*1),"")</f>
        <v>73</v>
      </c>
      <c r="B83" s="428">
        <v>41912</v>
      </c>
      <c r="C83" s="428" t="s">
        <v>173</v>
      </c>
      <c r="D83" s="428">
        <f t="shared" si="82"/>
        <v>41912</v>
      </c>
      <c r="E83" s="429" t="s">
        <v>327</v>
      </c>
      <c r="F83" s="102"/>
      <c r="G83" s="430" t="s">
        <v>152</v>
      </c>
      <c r="H83" s="430" t="s">
        <v>167</v>
      </c>
      <c r="I83" s="73">
        <f t="shared" si="83"/>
        <v>73</v>
      </c>
      <c r="J83" s="426">
        <f t="shared" si="84"/>
        <v>0</v>
      </c>
      <c r="K83" s="426">
        <f t="shared" si="85"/>
        <v>0</v>
      </c>
      <c r="L83" s="426">
        <f t="shared" si="86"/>
        <v>0</v>
      </c>
      <c r="M83" s="426">
        <f t="shared" si="87"/>
        <v>0</v>
      </c>
      <c r="N83" s="426">
        <f t="shared" si="88"/>
        <v>0</v>
      </c>
      <c r="O83" s="426">
        <f t="shared" si="89"/>
        <v>0</v>
      </c>
      <c r="P83" s="426">
        <f t="shared" si="90"/>
        <v>0</v>
      </c>
      <c r="Q83" s="426">
        <f t="shared" si="91"/>
        <v>0</v>
      </c>
      <c r="R83" s="426">
        <f t="shared" si="92"/>
        <v>0</v>
      </c>
      <c r="S83" s="426">
        <f t="shared" si="93"/>
        <v>0</v>
      </c>
      <c r="T83" s="426">
        <f t="shared" si="94"/>
        <v>0</v>
      </c>
      <c r="U83" s="426">
        <f t="shared" si="95"/>
        <v>0</v>
      </c>
      <c r="V83" s="426">
        <f t="shared" si="96"/>
        <v>0</v>
      </c>
      <c r="W83" s="426">
        <f t="shared" si="97"/>
        <v>0</v>
      </c>
      <c r="X83" s="426">
        <f t="shared" si="98"/>
        <v>0</v>
      </c>
      <c r="Y83" s="426">
        <f t="shared" si="99"/>
        <v>0</v>
      </c>
      <c r="Z83" s="426">
        <f t="shared" si="100"/>
        <v>0</v>
      </c>
      <c r="AA83" s="426">
        <f t="shared" si="101"/>
        <v>0</v>
      </c>
      <c r="AB83" s="426">
        <f t="shared" si="102"/>
        <v>0</v>
      </c>
      <c r="AC83" s="426">
        <f t="shared" si="103"/>
        <v>0</v>
      </c>
      <c r="AD83" s="426">
        <f t="shared" si="104"/>
        <v>0</v>
      </c>
      <c r="AE83" s="426">
        <f t="shared" si="105"/>
        <v>0</v>
      </c>
      <c r="AF83" s="426">
        <f t="shared" si="106"/>
        <v>0</v>
      </c>
      <c r="AG83" s="426">
        <f t="shared" si="107"/>
        <v>0</v>
      </c>
      <c r="AH83" s="426">
        <f t="shared" si="108"/>
        <v>0</v>
      </c>
      <c r="AI83" s="426">
        <f t="shared" si="109"/>
        <v>0</v>
      </c>
      <c r="AJ83" s="426">
        <f t="shared" si="110"/>
        <v>0</v>
      </c>
      <c r="AK83" s="426">
        <f t="shared" si="111"/>
        <v>0</v>
      </c>
      <c r="AL83" s="426">
        <f t="shared" si="112"/>
        <v>0</v>
      </c>
      <c r="AM83" s="426">
        <f t="shared" si="113"/>
        <v>0</v>
      </c>
      <c r="AN83" s="426">
        <f t="shared" si="114"/>
        <v>0</v>
      </c>
      <c r="AO83" s="426">
        <f t="shared" si="115"/>
        <v>0</v>
      </c>
      <c r="AP83" s="426">
        <f t="shared" si="116"/>
        <v>0</v>
      </c>
      <c r="AQ83" s="426">
        <f t="shared" si="117"/>
        <v>0</v>
      </c>
      <c r="AR83" s="426">
        <f t="shared" si="118"/>
        <v>0</v>
      </c>
      <c r="AS83" s="426">
        <f t="shared" si="119"/>
        <v>0</v>
      </c>
      <c r="AT83" s="426">
        <f t="shared" si="120"/>
        <v>0</v>
      </c>
      <c r="AU83" s="426">
        <f t="shared" si="121"/>
        <v>0</v>
      </c>
      <c r="AV83" s="426">
        <f t="shared" si="122"/>
        <v>0</v>
      </c>
      <c r="AW83" s="426">
        <f t="shared" si="123"/>
        <v>0</v>
      </c>
    </row>
    <row r="84" spans="1:49" s="421" customFormat="1" ht="12" customHeight="1">
      <c r="A84" s="73">
        <f t="array" ref="A84">IF(C84&lt;&gt;0,SUM(($C$11:C84&lt;&gt;0)*1),"")</f>
        <v>74</v>
      </c>
      <c r="B84" s="428">
        <v>41912</v>
      </c>
      <c r="C84" s="428" t="s">
        <v>173</v>
      </c>
      <c r="D84" s="428">
        <f t="shared" si="82"/>
        <v>41912</v>
      </c>
      <c r="E84" s="429" t="s">
        <v>177</v>
      </c>
      <c r="F84" s="102">
        <f>AK88</f>
        <v>238650</v>
      </c>
      <c r="G84" s="430" t="s">
        <v>67</v>
      </c>
      <c r="H84" s="430" t="s">
        <v>167</v>
      </c>
      <c r="I84" s="73">
        <f t="shared" si="83"/>
        <v>74</v>
      </c>
      <c r="J84" s="426">
        <f t="shared" si="84"/>
        <v>0</v>
      </c>
      <c r="K84" s="426">
        <f t="shared" si="85"/>
        <v>0</v>
      </c>
      <c r="L84" s="426">
        <f t="shared" si="86"/>
        <v>0</v>
      </c>
      <c r="M84" s="426">
        <f t="shared" si="87"/>
        <v>0</v>
      </c>
      <c r="N84" s="426">
        <f t="shared" si="88"/>
        <v>0</v>
      </c>
      <c r="O84" s="426">
        <f t="shared" si="89"/>
        <v>0</v>
      </c>
      <c r="P84" s="426">
        <f t="shared" si="90"/>
        <v>0</v>
      </c>
      <c r="Q84" s="426">
        <f t="shared" si="91"/>
        <v>0</v>
      </c>
      <c r="R84" s="426">
        <f t="shared" si="92"/>
        <v>0</v>
      </c>
      <c r="S84" s="426">
        <f t="shared" si="93"/>
        <v>0</v>
      </c>
      <c r="T84" s="426">
        <f t="shared" si="94"/>
        <v>0</v>
      </c>
      <c r="U84" s="426">
        <f t="shared" si="95"/>
        <v>0</v>
      </c>
      <c r="V84" s="426">
        <f t="shared" si="96"/>
        <v>0</v>
      </c>
      <c r="W84" s="426">
        <f t="shared" si="97"/>
        <v>0</v>
      </c>
      <c r="X84" s="426">
        <f t="shared" si="98"/>
        <v>0</v>
      </c>
      <c r="Y84" s="426">
        <f t="shared" si="99"/>
        <v>0</v>
      </c>
      <c r="Z84" s="426">
        <f t="shared" si="100"/>
        <v>0</v>
      </c>
      <c r="AA84" s="426">
        <f t="shared" si="101"/>
        <v>0</v>
      </c>
      <c r="AB84" s="426">
        <f t="shared" si="102"/>
        <v>0</v>
      </c>
      <c r="AC84" s="426">
        <f t="shared" si="103"/>
        <v>0</v>
      </c>
      <c r="AD84" s="426">
        <f t="shared" si="104"/>
        <v>0</v>
      </c>
      <c r="AE84" s="426">
        <f t="shared" si="105"/>
        <v>0</v>
      </c>
      <c r="AF84" s="426">
        <f t="shared" si="106"/>
        <v>0</v>
      </c>
      <c r="AG84" s="426">
        <f t="shared" si="107"/>
        <v>0</v>
      </c>
      <c r="AH84" s="426">
        <f t="shared" si="108"/>
        <v>0</v>
      </c>
      <c r="AI84" s="426">
        <f t="shared" si="109"/>
        <v>0</v>
      </c>
      <c r="AJ84" s="426">
        <f t="shared" si="110"/>
        <v>238650</v>
      </c>
      <c r="AK84" s="426">
        <f t="shared" si="111"/>
        <v>0</v>
      </c>
      <c r="AL84" s="426">
        <f t="shared" si="112"/>
        <v>0</v>
      </c>
      <c r="AM84" s="426">
        <f t="shared" si="113"/>
        <v>0</v>
      </c>
      <c r="AN84" s="426">
        <f t="shared" si="114"/>
        <v>0</v>
      </c>
      <c r="AO84" s="426">
        <f t="shared" si="115"/>
        <v>0</v>
      </c>
      <c r="AP84" s="426">
        <f t="shared" si="116"/>
        <v>0</v>
      </c>
      <c r="AQ84" s="426">
        <f t="shared" si="117"/>
        <v>0</v>
      </c>
      <c r="AR84" s="426">
        <f t="shared" si="118"/>
        <v>0</v>
      </c>
      <c r="AS84" s="426">
        <f t="shared" si="119"/>
        <v>0</v>
      </c>
      <c r="AT84" s="426">
        <f t="shared" si="120"/>
        <v>0</v>
      </c>
      <c r="AU84" s="426">
        <f t="shared" si="121"/>
        <v>0</v>
      </c>
      <c r="AV84" s="426">
        <f t="shared" si="122"/>
        <v>0</v>
      </c>
      <c r="AW84" s="426">
        <f t="shared" si="123"/>
        <v>238650</v>
      </c>
    </row>
    <row r="85" spans="1:49" s="421" customFormat="1" ht="12" customHeight="1">
      <c r="A85" s="73">
        <f t="array" ref="A85">IF(C85&lt;&gt;0,SUM(($C$11:C85&lt;&gt;0)*1),"")</f>
        <v>75</v>
      </c>
      <c r="B85" s="428">
        <v>41912</v>
      </c>
      <c r="C85" s="428" t="s">
        <v>173</v>
      </c>
      <c r="D85" s="428">
        <f t="shared" si="82"/>
        <v>41912</v>
      </c>
      <c r="E85" s="429" t="s">
        <v>178</v>
      </c>
      <c r="F85" s="102">
        <f>AQ88</f>
        <v>0</v>
      </c>
      <c r="G85" s="430" t="s">
        <v>161</v>
      </c>
      <c r="H85" s="430" t="s">
        <v>167</v>
      </c>
      <c r="I85" s="73">
        <f t="shared" si="83"/>
        <v>75</v>
      </c>
      <c r="J85" s="426">
        <f t="shared" si="84"/>
        <v>0</v>
      </c>
      <c r="K85" s="426">
        <f t="shared" si="85"/>
        <v>0</v>
      </c>
      <c r="L85" s="426">
        <f t="shared" si="86"/>
        <v>0</v>
      </c>
      <c r="M85" s="426">
        <f t="shared" si="87"/>
        <v>0</v>
      </c>
      <c r="N85" s="426">
        <f t="shared" si="88"/>
        <v>0</v>
      </c>
      <c r="O85" s="426">
        <f t="shared" si="89"/>
        <v>0</v>
      </c>
      <c r="P85" s="426">
        <f t="shared" si="90"/>
        <v>0</v>
      </c>
      <c r="Q85" s="426">
        <f t="shared" si="91"/>
        <v>0</v>
      </c>
      <c r="R85" s="426">
        <f t="shared" si="92"/>
        <v>0</v>
      </c>
      <c r="S85" s="426">
        <f t="shared" si="93"/>
        <v>0</v>
      </c>
      <c r="T85" s="426">
        <f t="shared" si="94"/>
        <v>0</v>
      </c>
      <c r="U85" s="426">
        <f t="shared" si="95"/>
        <v>0</v>
      </c>
      <c r="V85" s="426">
        <f t="shared" si="96"/>
        <v>0</v>
      </c>
      <c r="W85" s="426">
        <f t="shared" si="97"/>
        <v>0</v>
      </c>
      <c r="X85" s="426">
        <f t="shared" si="98"/>
        <v>0</v>
      </c>
      <c r="Y85" s="426">
        <f t="shared" si="99"/>
        <v>0</v>
      </c>
      <c r="Z85" s="426">
        <f t="shared" si="100"/>
        <v>0</v>
      </c>
      <c r="AA85" s="426">
        <f t="shared" si="101"/>
        <v>0</v>
      </c>
      <c r="AB85" s="426">
        <f t="shared" si="102"/>
        <v>0</v>
      </c>
      <c r="AC85" s="426">
        <f t="shared" si="103"/>
        <v>0</v>
      </c>
      <c r="AD85" s="426">
        <f t="shared" si="104"/>
        <v>0</v>
      </c>
      <c r="AE85" s="426">
        <f t="shared" si="105"/>
        <v>0</v>
      </c>
      <c r="AF85" s="426">
        <f t="shared" si="106"/>
        <v>0</v>
      </c>
      <c r="AG85" s="426">
        <f t="shared" si="107"/>
        <v>0</v>
      </c>
      <c r="AH85" s="426">
        <f t="shared" si="108"/>
        <v>0</v>
      </c>
      <c r="AI85" s="426">
        <f t="shared" si="109"/>
        <v>0</v>
      </c>
      <c r="AJ85" s="426">
        <f t="shared" si="110"/>
        <v>0</v>
      </c>
      <c r="AK85" s="426">
        <f t="shared" si="111"/>
        <v>0</v>
      </c>
      <c r="AL85" s="426">
        <f t="shared" si="112"/>
        <v>0</v>
      </c>
      <c r="AM85" s="426">
        <f t="shared" si="113"/>
        <v>0</v>
      </c>
      <c r="AN85" s="426">
        <f t="shared" si="114"/>
        <v>0</v>
      </c>
      <c r="AO85" s="426">
        <f t="shared" si="115"/>
        <v>0</v>
      </c>
      <c r="AP85" s="426">
        <f t="shared" si="116"/>
        <v>0</v>
      </c>
      <c r="AQ85" s="426">
        <f t="shared" si="117"/>
        <v>0</v>
      </c>
      <c r="AR85" s="426">
        <f t="shared" si="118"/>
        <v>0</v>
      </c>
      <c r="AS85" s="426">
        <f t="shared" si="119"/>
        <v>0</v>
      </c>
      <c r="AT85" s="426">
        <f t="shared" si="120"/>
        <v>0</v>
      </c>
      <c r="AU85" s="426">
        <f t="shared" si="121"/>
        <v>0</v>
      </c>
      <c r="AV85" s="426">
        <f t="shared" si="122"/>
        <v>0</v>
      </c>
      <c r="AW85" s="426">
        <f t="shared" si="123"/>
        <v>0</v>
      </c>
    </row>
    <row r="86" spans="1:49" s="421" customFormat="1" ht="12" customHeight="1">
      <c r="A86" s="73">
        <f t="array" ref="A86">IF(C86&lt;&gt;0,SUM(($C$11:C86&lt;&gt;0)*1),"")</f>
        <v>76</v>
      </c>
      <c r="B86" s="428">
        <v>41912</v>
      </c>
      <c r="C86" s="428" t="s">
        <v>173</v>
      </c>
      <c r="D86" s="428">
        <f t="shared" si="82"/>
        <v>41912</v>
      </c>
      <c r="E86" s="429" t="s">
        <v>179</v>
      </c>
      <c r="F86" s="102">
        <f>AR88</f>
        <v>0</v>
      </c>
      <c r="G86" s="430" t="s">
        <v>167</v>
      </c>
      <c r="H86" s="430" t="s">
        <v>163</v>
      </c>
      <c r="I86" s="73">
        <f t="shared" si="83"/>
        <v>76</v>
      </c>
      <c r="J86" s="426">
        <f t="shared" si="84"/>
        <v>0</v>
      </c>
      <c r="K86" s="426">
        <f t="shared" si="85"/>
        <v>0</v>
      </c>
      <c r="L86" s="426">
        <f t="shared" si="86"/>
        <v>0</v>
      </c>
      <c r="M86" s="426">
        <f t="shared" si="87"/>
        <v>0</v>
      </c>
      <c r="N86" s="426">
        <f t="shared" si="88"/>
        <v>0</v>
      </c>
      <c r="O86" s="426">
        <f t="shared" si="89"/>
        <v>0</v>
      </c>
      <c r="P86" s="426">
        <f t="shared" si="90"/>
        <v>0</v>
      </c>
      <c r="Q86" s="426">
        <f t="shared" si="91"/>
        <v>0</v>
      </c>
      <c r="R86" s="426">
        <f t="shared" si="92"/>
        <v>0</v>
      </c>
      <c r="S86" s="426">
        <f t="shared" si="93"/>
        <v>0</v>
      </c>
      <c r="T86" s="426">
        <f t="shared" si="94"/>
        <v>0</v>
      </c>
      <c r="U86" s="426">
        <f t="shared" si="95"/>
        <v>0</v>
      </c>
      <c r="V86" s="426">
        <f t="shared" si="96"/>
        <v>0</v>
      </c>
      <c r="W86" s="426">
        <f t="shared" si="97"/>
        <v>0</v>
      </c>
      <c r="X86" s="426">
        <f t="shared" si="98"/>
        <v>0</v>
      </c>
      <c r="Y86" s="426">
        <f t="shared" si="99"/>
        <v>0</v>
      </c>
      <c r="Z86" s="426">
        <f t="shared" si="100"/>
        <v>0</v>
      </c>
      <c r="AA86" s="426">
        <f t="shared" si="101"/>
        <v>0</v>
      </c>
      <c r="AB86" s="426">
        <f t="shared" si="102"/>
        <v>0</v>
      </c>
      <c r="AC86" s="426">
        <f t="shared" si="103"/>
        <v>0</v>
      </c>
      <c r="AD86" s="426">
        <f t="shared" si="104"/>
        <v>0</v>
      </c>
      <c r="AE86" s="426">
        <f t="shared" si="105"/>
        <v>0</v>
      </c>
      <c r="AF86" s="426">
        <f t="shared" si="106"/>
        <v>0</v>
      </c>
      <c r="AG86" s="426">
        <f t="shared" si="107"/>
        <v>0</v>
      </c>
      <c r="AH86" s="426">
        <f t="shared" si="108"/>
        <v>0</v>
      </c>
      <c r="AI86" s="426">
        <f t="shared" si="109"/>
        <v>0</v>
      </c>
      <c r="AJ86" s="426">
        <f t="shared" si="110"/>
        <v>0</v>
      </c>
      <c r="AK86" s="426">
        <f t="shared" si="111"/>
        <v>0</v>
      </c>
      <c r="AL86" s="426">
        <f t="shared" si="112"/>
        <v>0</v>
      </c>
      <c r="AM86" s="426">
        <f t="shared" si="113"/>
        <v>0</v>
      </c>
      <c r="AN86" s="426">
        <f t="shared" si="114"/>
        <v>0</v>
      </c>
      <c r="AO86" s="426">
        <f t="shared" si="115"/>
        <v>0</v>
      </c>
      <c r="AP86" s="426">
        <f t="shared" si="116"/>
        <v>0</v>
      </c>
      <c r="AQ86" s="426">
        <f t="shared" si="117"/>
        <v>0</v>
      </c>
      <c r="AR86" s="426">
        <f t="shared" si="118"/>
        <v>0</v>
      </c>
      <c r="AS86" s="426">
        <f t="shared" si="119"/>
        <v>0</v>
      </c>
      <c r="AT86" s="426">
        <f t="shared" si="120"/>
        <v>0</v>
      </c>
      <c r="AU86" s="426">
        <f t="shared" si="121"/>
        <v>0</v>
      </c>
      <c r="AV86" s="426">
        <f t="shared" si="122"/>
        <v>0</v>
      </c>
      <c r="AW86" s="426">
        <f t="shared" si="123"/>
        <v>0</v>
      </c>
    </row>
    <row r="87" spans="1:49" s="421" customFormat="1" ht="12" customHeight="1">
      <c r="A87" s="73" t="str">
        <f t="array" ref="A87">IF(C87&lt;&gt;0,SUM(($C$11:C87&lt;&gt;0)*1),"")</f>
        <v/>
      </c>
      <c r="B87" s="316"/>
      <c r="C87" s="431"/>
      <c r="D87" s="316"/>
      <c r="E87" s="423"/>
      <c r="F87" s="75"/>
      <c r="G87" s="432"/>
      <c r="H87" s="432"/>
      <c r="I87" s="73" t="str">
        <f t="shared" si="83"/>
        <v/>
      </c>
      <c r="J87" s="426">
        <f t="shared" si="84"/>
        <v>0</v>
      </c>
      <c r="K87" s="426">
        <f t="shared" si="85"/>
        <v>0</v>
      </c>
      <c r="L87" s="426">
        <f t="shared" si="86"/>
        <v>0</v>
      </c>
      <c r="M87" s="426">
        <f t="shared" si="87"/>
        <v>0</v>
      </c>
      <c r="N87" s="426">
        <f t="shared" si="88"/>
        <v>0</v>
      </c>
      <c r="O87" s="426">
        <f t="shared" si="89"/>
        <v>0</v>
      </c>
      <c r="P87" s="426">
        <f t="shared" si="90"/>
        <v>0</v>
      </c>
      <c r="Q87" s="426">
        <f t="shared" si="91"/>
        <v>0</v>
      </c>
      <c r="R87" s="426">
        <f t="shared" si="92"/>
        <v>0</v>
      </c>
      <c r="S87" s="426">
        <f t="shared" si="93"/>
        <v>0</v>
      </c>
      <c r="T87" s="426">
        <f t="shared" si="94"/>
        <v>0</v>
      </c>
      <c r="U87" s="426">
        <f t="shared" si="95"/>
        <v>0</v>
      </c>
      <c r="V87" s="426">
        <f t="shared" si="96"/>
        <v>0</v>
      </c>
      <c r="W87" s="426">
        <f t="shared" si="97"/>
        <v>0</v>
      </c>
      <c r="X87" s="426">
        <f t="shared" si="98"/>
        <v>0</v>
      </c>
      <c r="Y87" s="426">
        <f t="shared" si="99"/>
        <v>0</v>
      </c>
      <c r="Z87" s="426">
        <f t="shared" si="100"/>
        <v>0</v>
      </c>
      <c r="AA87" s="426">
        <f t="shared" si="101"/>
        <v>0</v>
      </c>
      <c r="AB87" s="426">
        <f t="shared" si="102"/>
        <v>0</v>
      </c>
      <c r="AC87" s="426">
        <f t="shared" si="103"/>
        <v>0</v>
      </c>
      <c r="AD87" s="426">
        <f t="shared" si="104"/>
        <v>0</v>
      </c>
      <c r="AE87" s="426">
        <f t="shared" si="105"/>
        <v>0</v>
      </c>
      <c r="AF87" s="426">
        <f t="shared" si="106"/>
        <v>0</v>
      </c>
      <c r="AG87" s="426">
        <f t="shared" si="107"/>
        <v>0</v>
      </c>
      <c r="AH87" s="426">
        <f t="shared" si="108"/>
        <v>0</v>
      </c>
      <c r="AI87" s="426">
        <f t="shared" si="109"/>
        <v>0</v>
      </c>
      <c r="AJ87" s="426">
        <f t="shared" si="110"/>
        <v>0</v>
      </c>
      <c r="AK87" s="426">
        <f t="shared" si="111"/>
        <v>0</v>
      </c>
      <c r="AL87" s="426">
        <f t="shared" si="112"/>
        <v>0</v>
      </c>
      <c r="AM87" s="426">
        <f t="shared" si="113"/>
        <v>0</v>
      </c>
      <c r="AN87" s="426">
        <f t="shared" si="114"/>
        <v>0</v>
      </c>
      <c r="AO87" s="426">
        <f t="shared" si="115"/>
        <v>0</v>
      </c>
      <c r="AP87" s="426">
        <f t="shared" si="116"/>
        <v>0</v>
      </c>
      <c r="AQ87" s="426">
        <f t="shared" si="117"/>
        <v>0</v>
      </c>
      <c r="AR87" s="426">
        <f t="shared" si="118"/>
        <v>0</v>
      </c>
      <c r="AS87" s="426">
        <f t="shared" si="119"/>
        <v>0</v>
      </c>
      <c r="AT87" s="426">
        <f t="shared" si="120"/>
        <v>0</v>
      </c>
      <c r="AU87" s="426">
        <f t="shared" si="121"/>
        <v>0</v>
      </c>
      <c r="AV87" s="426">
        <f t="shared" si="122"/>
        <v>0</v>
      </c>
      <c r="AW87" s="426">
        <f t="shared" si="123"/>
        <v>0</v>
      </c>
    </row>
    <row r="88" spans="1:49" s="421" customFormat="1" ht="12" customHeight="1">
      <c r="A88" s="433"/>
      <c r="B88" s="433"/>
      <c r="C88" s="460"/>
      <c r="D88" s="433"/>
      <c r="E88" s="423" t="s">
        <v>275</v>
      </c>
      <c r="F88" s="433"/>
      <c r="G88" s="432"/>
      <c r="H88" s="432"/>
      <c r="I88" s="433"/>
      <c r="J88" s="433">
        <f t="shared" ref="J88:AW88" si="124">SUM(J11:J87)</f>
        <v>0</v>
      </c>
      <c r="K88" s="433">
        <f t="shared" si="124"/>
        <v>761000000</v>
      </c>
      <c r="L88" s="433">
        <f t="shared" si="124"/>
        <v>3761238650</v>
      </c>
      <c r="M88" s="433">
        <f t="shared" si="124"/>
        <v>2922996460</v>
      </c>
      <c r="N88" s="433">
        <f t="shared" si="124"/>
        <v>151728958</v>
      </c>
      <c r="O88" s="433">
        <f t="shared" si="124"/>
        <v>0</v>
      </c>
      <c r="P88" s="433">
        <f t="shared" si="124"/>
        <v>0</v>
      </c>
      <c r="Q88" s="433">
        <f t="shared" si="124"/>
        <v>0</v>
      </c>
      <c r="R88" s="433">
        <f t="shared" si="124"/>
        <v>1524386736</v>
      </c>
      <c r="S88" s="433">
        <f t="shared" si="124"/>
        <v>0</v>
      </c>
      <c r="T88" s="433">
        <f t="shared" si="124"/>
        <v>2912689840</v>
      </c>
      <c r="U88" s="433">
        <f t="shared" si="124"/>
        <v>1667337400</v>
      </c>
      <c r="V88" s="433">
        <f t="shared" si="124"/>
        <v>0</v>
      </c>
      <c r="W88" s="433">
        <f t="shared" si="124"/>
        <v>0</v>
      </c>
      <c r="X88" s="433">
        <f t="shared" si="124"/>
        <v>0</v>
      </c>
      <c r="Y88" s="433">
        <f t="shared" si="124"/>
        <v>0</v>
      </c>
      <c r="Z88" s="433">
        <f t="shared" si="124"/>
        <v>488000000</v>
      </c>
      <c r="AA88" s="433">
        <f t="shared" si="124"/>
        <v>488000000</v>
      </c>
      <c r="AB88" s="433">
        <f t="shared" si="124"/>
        <v>0</v>
      </c>
      <c r="AC88" s="433">
        <f t="shared" si="124"/>
        <v>0</v>
      </c>
      <c r="AD88" s="433">
        <f t="shared" si="124"/>
        <v>0</v>
      </c>
      <c r="AE88" s="433">
        <f t="shared" si="124"/>
        <v>0</v>
      </c>
      <c r="AF88" s="433">
        <f t="shared" si="124"/>
        <v>0</v>
      </c>
      <c r="AG88" s="433">
        <f t="shared" si="124"/>
        <v>0</v>
      </c>
      <c r="AH88" s="433">
        <f t="shared" si="124"/>
        <v>0</v>
      </c>
      <c r="AI88" s="433">
        <f t="shared" si="124"/>
        <v>0</v>
      </c>
      <c r="AJ88" s="433">
        <f t="shared" si="124"/>
        <v>238650</v>
      </c>
      <c r="AK88" s="433">
        <f t="shared" si="124"/>
        <v>238650</v>
      </c>
      <c r="AL88" s="433">
        <f t="shared" si="124"/>
        <v>0</v>
      </c>
      <c r="AM88" s="433">
        <f t="shared" si="124"/>
        <v>0</v>
      </c>
      <c r="AN88" s="433">
        <f t="shared" si="124"/>
        <v>0</v>
      </c>
      <c r="AO88" s="433">
        <f t="shared" si="124"/>
        <v>0</v>
      </c>
      <c r="AP88" s="433">
        <f t="shared" si="124"/>
        <v>0</v>
      </c>
      <c r="AQ88" s="433">
        <f t="shared" si="124"/>
        <v>0</v>
      </c>
      <c r="AR88" s="433">
        <f t="shared" si="124"/>
        <v>0</v>
      </c>
      <c r="AS88" s="433">
        <f t="shared" si="124"/>
        <v>0</v>
      </c>
      <c r="AT88" s="433">
        <f t="shared" si="124"/>
        <v>0</v>
      </c>
      <c r="AU88" s="433">
        <f t="shared" si="124"/>
        <v>0</v>
      </c>
      <c r="AV88" s="433">
        <f t="shared" si="124"/>
        <v>0</v>
      </c>
      <c r="AW88" s="433">
        <f t="shared" si="124"/>
        <v>238650</v>
      </c>
    </row>
    <row r="89" spans="1:49" s="421" customFormat="1" ht="12" customHeight="1">
      <c r="A89" s="434"/>
      <c r="B89" s="434"/>
      <c r="C89" s="434"/>
      <c r="D89" s="434"/>
      <c r="E89" s="435" t="s">
        <v>328</v>
      </c>
      <c r="F89" s="434"/>
      <c r="G89" s="436"/>
      <c r="H89" s="436"/>
      <c r="I89" s="434"/>
      <c r="J89" s="456">
        <f>MAX(J10+J88-K10-K88,0)</f>
        <v>1800943500</v>
      </c>
      <c r="K89" s="456">
        <f>MAX(K10+K88-J10-J88,0)</f>
        <v>0</v>
      </c>
      <c r="L89" s="456">
        <f>MAX(L10+L88-M10-M88,0)</f>
        <v>839154687</v>
      </c>
      <c r="M89" s="456">
        <f>MAX(M10+M88-L10-L88,0)</f>
        <v>0</v>
      </c>
      <c r="N89" s="456">
        <f>MAX(N10+N88-O10-O88,0)</f>
        <v>163318285</v>
      </c>
      <c r="O89" s="456">
        <f>MAX(O10+O88-N10-N88,0)</f>
        <v>0</v>
      </c>
      <c r="P89" s="456">
        <f>MAX(P10+P88-Q10-Q88,0)</f>
        <v>0</v>
      </c>
      <c r="Q89" s="456">
        <f>MAX(Q10+Q88-P10-P88,0)</f>
        <v>0</v>
      </c>
      <c r="R89" s="456">
        <f>MAX(R10+R88-S10-S88,0)</f>
        <v>1579386736</v>
      </c>
      <c r="S89" s="456">
        <f>MAX(S10+S88-R10-R88,0)</f>
        <v>0</v>
      </c>
      <c r="T89" s="456">
        <f>MAX(T10+T88-U10-U88,0)</f>
        <v>2428785840</v>
      </c>
      <c r="U89" s="456">
        <f>MAX(U10+U88-T10-T88,0)</f>
        <v>0</v>
      </c>
      <c r="V89" s="456">
        <f>MAX(V10+V88-W10-W88,0)</f>
        <v>0</v>
      </c>
      <c r="W89" s="456">
        <f>MAX(W10+W88-V10-V88,0)</f>
        <v>0</v>
      </c>
      <c r="X89" s="456">
        <f>MAX(X10+X88-Y10-Y88,0)</f>
        <v>0</v>
      </c>
      <c r="Y89" s="456">
        <f>MAX(Y10+Y88-X10-X88,0)</f>
        <v>0</v>
      </c>
      <c r="Z89" s="456">
        <f>MAX(Z10+Z88-AA10-AA88,0)</f>
        <v>0</v>
      </c>
      <c r="AA89" s="456">
        <f>MAX(AA10+AA88-Z10-Z88,0)</f>
        <v>0</v>
      </c>
      <c r="AB89" s="456">
        <f>MAX(AB10+AB88-AC10-AC88,0)</f>
        <v>0</v>
      </c>
      <c r="AC89" s="456">
        <f>MAX(AC10+AC88-AB10-AB88,0)</f>
        <v>0</v>
      </c>
      <c r="AD89" s="456">
        <f>MAX(AD10+AD88-AE10-AE88,0)</f>
        <v>0</v>
      </c>
      <c r="AE89" s="456">
        <f>MAX(AE10+AE88-AD10-AD88,0)</f>
        <v>4000000000</v>
      </c>
      <c r="AF89" s="456">
        <f>MAX(AF10+AF88-AG10-AG88,0)</f>
        <v>124728000</v>
      </c>
      <c r="AG89" s="456">
        <f>MAX(AG10+AG88-AF10-AF88,0)</f>
        <v>0</v>
      </c>
      <c r="AH89" s="456">
        <f>MAX(AH10+AH88-AI10-AI88,0)</f>
        <v>0</v>
      </c>
      <c r="AI89" s="456">
        <f>MAX(AI10+AI88-AH10-AH88,0)</f>
        <v>0</v>
      </c>
      <c r="AJ89" s="456">
        <f>MAX(AJ10+AJ88-AK10-AK88,0)</f>
        <v>0</v>
      </c>
      <c r="AK89" s="456">
        <f>MAX(AK10+AK88-AJ10-AJ88,0)</f>
        <v>0</v>
      </c>
      <c r="AL89" s="456">
        <f>MAX(AL10+AL88-AM10-AM88,0)</f>
        <v>0</v>
      </c>
      <c r="AM89" s="456">
        <f>MAX(AM10+AM88-AL10-AL88,0)</f>
        <v>0</v>
      </c>
      <c r="AN89" s="456">
        <f>MAX(AN10+AN88-AO10-AO88,0)</f>
        <v>0</v>
      </c>
      <c r="AO89" s="456">
        <f>MAX(AO10+AO88-AN10-AN88,0)</f>
        <v>0</v>
      </c>
      <c r="AP89" s="456">
        <f>MAX(AP10+AP88-AQ10-AQ88,0)</f>
        <v>0</v>
      </c>
      <c r="AQ89" s="456">
        <f>MAX(AQ10+AQ88-AP10-AP88,0)</f>
        <v>0</v>
      </c>
      <c r="AR89" s="456">
        <f>MAX(AR10+AR88-AS10-AS88,0)</f>
        <v>0</v>
      </c>
      <c r="AS89" s="456">
        <f>MAX(AS10+AS88-AR10-AR88,0)</f>
        <v>0</v>
      </c>
      <c r="AT89" s="456">
        <f>MAX(AT10+AT88-AU10-AU88,0)</f>
        <v>0</v>
      </c>
      <c r="AU89" s="456">
        <f>MAX(AU10+AU88-AT10-AT88,0)</f>
        <v>0</v>
      </c>
      <c r="AV89" s="456">
        <f>MAX(AV10+AV88-AW10-AW88,0)</f>
        <v>0</v>
      </c>
      <c r="AW89" s="456">
        <f>MAX(AW10+AW88-AV10-AV88,0)</f>
        <v>238650</v>
      </c>
    </row>
    <row r="90" spans="1:49" s="421" customFormat="1" ht="12" customHeight="1">
      <c r="A90" s="438"/>
      <c r="B90" s="438"/>
      <c r="C90" s="439"/>
      <c r="D90" s="438"/>
      <c r="E90" s="440" t="s">
        <v>329</v>
      </c>
      <c r="F90" s="438"/>
      <c r="G90" s="441"/>
      <c r="H90" s="441"/>
      <c r="I90" s="438"/>
      <c r="J90" s="438">
        <f>J88+'04-06'!J48</f>
        <v>0</v>
      </c>
      <c r="K90" s="438">
        <f>K88+'04-06'!K48</f>
        <v>1223700000</v>
      </c>
      <c r="L90" s="438">
        <f>L88+'04-06'!L48</f>
        <v>4256938650</v>
      </c>
      <c r="M90" s="438">
        <f>M88+'04-06'!M48</f>
        <v>3418412463</v>
      </c>
      <c r="N90" s="438">
        <f>N88+'04-06'!N48</f>
        <v>163318285</v>
      </c>
      <c r="O90" s="438">
        <f>O88+'04-06'!O48</f>
        <v>0</v>
      </c>
      <c r="P90" s="438">
        <f>P88+'04-06'!P48</f>
        <v>0</v>
      </c>
      <c r="Q90" s="438">
        <f>Q88+'04-06'!Q48</f>
        <v>0</v>
      </c>
      <c r="R90" s="438">
        <f>R88+'04-06'!R48</f>
        <v>1579386736</v>
      </c>
      <c r="S90" s="438">
        <f>S88+'04-06'!S48</f>
        <v>0</v>
      </c>
      <c r="T90" s="438">
        <f>T88+'04-06'!T48</f>
        <v>3405975240</v>
      </c>
      <c r="U90" s="438">
        <f>U88+'04-06'!U48</f>
        <v>1827189400</v>
      </c>
      <c r="V90" s="438">
        <f>V88+'04-06'!V48</f>
        <v>0</v>
      </c>
      <c r="W90" s="438">
        <f>W88+'04-06'!W48</f>
        <v>0</v>
      </c>
      <c r="X90" s="438">
        <f>X88+'04-06'!X48</f>
        <v>0</v>
      </c>
      <c r="Y90" s="438">
        <f>Y88+'04-06'!Y48</f>
        <v>0</v>
      </c>
      <c r="Z90" s="438">
        <f>Z88+'04-06'!Z48</f>
        <v>580500000</v>
      </c>
      <c r="AA90" s="438">
        <f>AA88+'04-06'!AA48</f>
        <v>580500000</v>
      </c>
      <c r="AB90" s="438">
        <f>AB88+'04-06'!AB48</f>
        <v>0</v>
      </c>
      <c r="AC90" s="438">
        <f>AC88+'04-06'!AC48</f>
        <v>0</v>
      </c>
      <c r="AD90" s="438">
        <f>AD88+'04-06'!AD48</f>
        <v>0</v>
      </c>
      <c r="AE90" s="438">
        <f>AE88+'04-06'!AE48</f>
        <v>0</v>
      </c>
      <c r="AF90" s="438">
        <f>AF88+'04-06'!AF48</f>
        <v>2041200</v>
      </c>
      <c r="AG90" s="438">
        <f>AG88+'04-06'!AG48</f>
        <v>0</v>
      </c>
      <c r="AH90" s="438">
        <f>AH88+'04-06'!AH48</f>
        <v>0</v>
      </c>
      <c r="AI90" s="438">
        <f>AI88+'04-06'!AI48</f>
        <v>2041200</v>
      </c>
      <c r="AJ90" s="438">
        <f>AJ88+'04-06'!AJ48</f>
        <v>238650</v>
      </c>
      <c r="AK90" s="438">
        <f>AK88+'04-06'!AK48</f>
        <v>238650</v>
      </c>
      <c r="AL90" s="438">
        <f>AL88+'04-06'!AL48</f>
        <v>0</v>
      </c>
      <c r="AM90" s="438">
        <f>AM88+'04-06'!AM48</f>
        <v>0</v>
      </c>
      <c r="AN90" s="438">
        <f>AN88+'04-06'!AN48</f>
        <v>0</v>
      </c>
      <c r="AO90" s="438">
        <f>AO88+'04-06'!AO48</f>
        <v>0</v>
      </c>
      <c r="AP90" s="438">
        <f>AP88+'04-06'!AP48</f>
        <v>0</v>
      </c>
      <c r="AQ90" s="438">
        <f>AQ88+'04-06'!AQ48</f>
        <v>0</v>
      </c>
      <c r="AR90" s="438">
        <f>AR88+'04-06'!AR48</f>
        <v>0</v>
      </c>
      <c r="AS90" s="438">
        <f>AS88+'04-06'!AS48</f>
        <v>0</v>
      </c>
      <c r="AT90" s="438">
        <f>AT88+'04-06'!AT48</f>
        <v>0</v>
      </c>
      <c r="AU90" s="438">
        <f>AU88+'04-06'!AU48</f>
        <v>0</v>
      </c>
      <c r="AV90" s="438">
        <f>AV88+'04-06'!AV48</f>
        <v>0</v>
      </c>
      <c r="AW90" s="438">
        <f>AW88+'04-06'!AW48</f>
        <v>238650</v>
      </c>
    </row>
    <row r="91" spans="1:49" ht="12" customHeight="1">
      <c r="B91" s="443"/>
      <c r="C91" s="444"/>
      <c r="D91" s="444"/>
      <c r="E91" s="444"/>
      <c r="F91" s="444"/>
      <c r="G91" s="445"/>
      <c r="H91" s="445"/>
      <c r="I91" s="444"/>
      <c r="J91" s="444"/>
      <c r="K91" s="444"/>
      <c r="AN91" s="443"/>
      <c r="AO91" s="443"/>
      <c r="AP91" s="444"/>
      <c r="AQ91" s="444"/>
      <c r="AR91" s="444"/>
      <c r="AS91" s="445"/>
      <c r="AT91" s="445"/>
      <c r="AU91" s="445"/>
      <c r="AV91" s="445"/>
      <c r="AW91" s="461"/>
    </row>
    <row r="92" spans="1:49">
      <c r="F92" s="399"/>
      <c r="M92" s="446"/>
      <c r="O92" s="446"/>
      <c r="P92" s="446"/>
      <c r="Q92" s="446"/>
      <c r="R92" s="446"/>
      <c r="S92" s="446"/>
      <c r="T92" s="446"/>
      <c r="AH92" s="447" t="s">
        <v>332</v>
      </c>
      <c r="AI92" s="448"/>
      <c r="AJ92" s="448"/>
      <c r="AK92" s="448"/>
      <c r="AL92" s="448"/>
      <c r="AM92" s="448"/>
      <c r="AN92" s="449"/>
      <c r="AO92" s="449"/>
      <c r="AP92" s="448"/>
    </row>
    <row r="93" spans="1:49">
      <c r="F93" s="399"/>
      <c r="M93" s="446"/>
      <c r="O93" s="446"/>
      <c r="P93" s="446"/>
      <c r="Q93" s="446"/>
      <c r="R93" s="446"/>
      <c r="S93" s="446"/>
      <c r="T93" s="446"/>
      <c r="AH93" s="450" t="s">
        <v>437</v>
      </c>
      <c r="AI93" s="448"/>
      <c r="AJ93" s="448"/>
      <c r="AK93" s="448"/>
      <c r="AL93" s="448"/>
      <c r="AM93" s="448"/>
      <c r="AN93" s="449"/>
      <c r="AO93" s="449"/>
      <c r="AP93" s="448"/>
    </row>
    <row r="94" spans="1:49">
      <c r="F94" s="399"/>
      <c r="M94" s="446"/>
      <c r="O94" s="446"/>
      <c r="P94" s="446"/>
      <c r="Q94" s="446"/>
      <c r="R94" s="446"/>
      <c r="S94" s="446"/>
      <c r="T94" s="446"/>
      <c r="AH94" s="448"/>
      <c r="AI94" s="448"/>
      <c r="AJ94" s="448"/>
      <c r="AK94" s="448"/>
      <c r="AL94" s="448"/>
      <c r="AM94" s="448"/>
      <c r="AN94" s="448"/>
      <c r="AO94" s="448"/>
      <c r="AP94" s="449"/>
    </row>
    <row r="95" spans="1:49">
      <c r="F95" s="399"/>
      <c r="M95" s="446"/>
      <c r="O95" s="446"/>
      <c r="P95" s="446"/>
      <c r="Q95" s="446"/>
      <c r="R95" s="446"/>
      <c r="S95" s="446"/>
      <c r="T95" s="446"/>
      <c r="AH95" s="448"/>
      <c r="AI95" s="448"/>
      <c r="AJ95" s="448"/>
      <c r="AK95" s="448"/>
      <c r="AL95" s="448"/>
      <c r="AM95" s="448"/>
      <c r="AN95" s="448"/>
      <c r="AO95" s="448"/>
      <c r="AP95" s="449"/>
      <c r="AV95" s="451" t="str">
        <f>"Ngày 30 tháng 09 năm 2014 "</f>
        <v xml:space="preserve">Ngày 30 tháng 09 năm 2014 </v>
      </c>
    </row>
    <row r="96" spans="1:49">
      <c r="F96" s="399"/>
      <c r="M96" s="446"/>
      <c r="O96" s="446"/>
      <c r="P96" s="446"/>
      <c r="Q96" s="446"/>
      <c r="R96" s="446"/>
      <c r="S96" s="446"/>
      <c r="T96" s="446"/>
      <c r="AH96" s="448"/>
      <c r="AI96" s="452" t="s">
        <v>13</v>
      </c>
      <c r="AJ96" s="448"/>
      <c r="AK96" s="448"/>
      <c r="AL96" s="448"/>
      <c r="AM96" s="448"/>
      <c r="AN96" s="448"/>
      <c r="AO96" s="453" t="s">
        <v>14</v>
      </c>
      <c r="AP96" s="449"/>
      <c r="AV96" s="452" t="s">
        <v>209</v>
      </c>
    </row>
    <row r="97" spans="6:48">
      <c r="F97" s="399"/>
      <c r="M97" s="446"/>
      <c r="O97" s="446"/>
      <c r="P97" s="446"/>
      <c r="Q97" s="446"/>
      <c r="R97" s="446"/>
      <c r="S97" s="446"/>
      <c r="T97" s="446"/>
      <c r="AH97" s="448"/>
      <c r="AI97" s="454" t="s">
        <v>15</v>
      </c>
      <c r="AJ97" s="448"/>
      <c r="AK97" s="448"/>
      <c r="AL97" s="448"/>
      <c r="AM97" s="448"/>
      <c r="AN97" s="448"/>
      <c r="AO97" s="455" t="s">
        <v>15</v>
      </c>
      <c r="AP97" s="449"/>
      <c r="AV97" s="454" t="s">
        <v>246</v>
      </c>
    </row>
    <row r="98" spans="6:48">
      <c r="F98" s="399"/>
      <c r="M98" s="446"/>
      <c r="O98" s="446"/>
      <c r="P98" s="446"/>
      <c r="Q98" s="446"/>
      <c r="R98" s="446"/>
      <c r="S98" s="446"/>
      <c r="T98" s="446"/>
      <c r="AH98" s="448"/>
      <c r="AI98" s="448"/>
      <c r="AJ98" s="448"/>
      <c r="AK98" s="448"/>
      <c r="AL98" s="448"/>
      <c r="AM98" s="448"/>
      <c r="AN98" s="448"/>
      <c r="AO98" s="448"/>
      <c r="AP98" s="449"/>
      <c r="AV98" s="448"/>
    </row>
    <row r="99" spans="6:48">
      <c r="F99" s="399"/>
      <c r="M99" s="446"/>
      <c r="O99" s="446"/>
      <c r="P99" s="446"/>
      <c r="Q99" s="446"/>
      <c r="R99" s="446"/>
      <c r="S99" s="446"/>
      <c r="T99" s="446"/>
      <c r="AV99" s="448"/>
    </row>
    <row r="100" spans="6:48">
      <c r="F100" s="399"/>
      <c r="M100" s="446"/>
      <c r="O100" s="446"/>
      <c r="P100" s="446"/>
      <c r="Q100" s="446"/>
      <c r="R100" s="446"/>
      <c r="S100" s="446"/>
      <c r="T100" s="446"/>
    </row>
    <row r="101" spans="6:48">
      <c r="F101" s="399"/>
      <c r="M101" s="446"/>
      <c r="O101" s="446"/>
      <c r="P101" s="446"/>
      <c r="Q101" s="446"/>
      <c r="R101" s="446"/>
      <c r="S101" s="446"/>
      <c r="T101" s="446"/>
    </row>
    <row r="102" spans="6:48">
      <c r="F102" s="399"/>
      <c r="M102" s="446"/>
      <c r="O102" s="446"/>
      <c r="P102" s="446"/>
      <c r="Q102" s="446"/>
      <c r="R102" s="446"/>
      <c r="S102" s="446"/>
      <c r="T102" s="446"/>
    </row>
    <row r="103" spans="6:48">
      <c r="F103" s="399"/>
      <c r="M103" s="446"/>
      <c r="O103" s="446"/>
      <c r="P103" s="446"/>
      <c r="Q103" s="446"/>
      <c r="R103" s="446"/>
      <c r="S103" s="446"/>
      <c r="T103" s="446"/>
    </row>
    <row r="104" spans="6:48">
      <c r="F104" s="399"/>
      <c r="M104" s="446"/>
      <c r="O104" s="446"/>
      <c r="P104" s="446"/>
      <c r="Q104" s="446"/>
      <c r="R104" s="446"/>
      <c r="S104" s="446"/>
      <c r="T104" s="446"/>
    </row>
    <row r="105" spans="6:48">
      <c r="F105" s="399"/>
      <c r="M105" s="446"/>
      <c r="O105" s="446"/>
      <c r="P105" s="446"/>
      <c r="Q105" s="446"/>
      <c r="R105" s="446"/>
      <c r="S105" s="446"/>
      <c r="T105" s="446"/>
    </row>
    <row r="114" spans="13:16">
      <c r="P114" s="446"/>
    </row>
    <row r="115" spans="13:16">
      <c r="P115" s="446"/>
    </row>
    <row r="116" spans="13:16">
      <c r="M116" s="446"/>
      <c r="N116" s="446"/>
      <c r="O116" s="446"/>
      <c r="P116" s="446"/>
    </row>
    <row r="117" spans="13:16">
      <c r="M117" s="446"/>
      <c r="N117" s="446"/>
      <c r="O117" s="446"/>
      <c r="P117" s="446"/>
    </row>
    <row r="118" spans="13:16">
      <c r="M118" s="446"/>
      <c r="N118" s="446"/>
      <c r="O118" s="446"/>
    </row>
    <row r="119" spans="13:16">
      <c r="M119" s="446"/>
      <c r="N119" s="446"/>
      <c r="O119" s="446"/>
    </row>
    <row r="121" spans="13:16">
      <c r="M121" s="446"/>
      <c r="N121" s="446"/>
      <c r="O121" s="446"/>
      <c r="P121" s="446"/>
    </row>
    <row r="122" spans="13:16">
      <c r="M122" s="446"/>
      <c r="N122" s="446"/>
      <c r="O122" s="446"/>
      <c r="P122" s="446"/>
    </row>
    <row r="129" spans="13:16">
      <c r="M129" s="446"/>
      <c r="N129" s="446"/>
      <c r="O129" s="446"/>
      <c r="P129" s="446"/>
    </row>
    <row r="130" spans="13:16">
      <c r="M130" s="446"/>
      <c r="N130" s="446"/>
      <c r="O130" s="446"/>
      <c r="P130" s="446"/>
    </row>
    <row r="131" spans="13:16">
      <c r="M131" s="446"/>
      <c r="N131" s="446"/>
      <c r="O131" s="446"/>
      <c r="P131" s="446"/>
    </row>
    <row r="135" spans="13:16">
      <c r="M135" s="446"/>
      <c r="N135" s="446"/>
      <c r="O135" s="446"/>
      <c r="P135" s="446"/>
    </row>
    <row r="136" spans="13:16">
      <c r="M136" s="446"/>
      <c r="N136" s="446"/>
      <c r="O136" s="446"/>
      <c r="P136" s="446"/>
    </row>
    <row r="137" spans="13:16">
      <c r="M137" s="446"/>
      <c r="N137" s="446"/>
      <c r="O137" s="446"/>
      <c r="P137" s="446"/>
    </row>
    <row r="138" spans="13:16">
      <c r="M138" s="446"/>
      <c r="N138" s="446"/>
      <c r="O138" s="446"/>
      <c r="P138" s="446"/>
    </row>
    <row r="139" spans="13:16">
      <c r="M139" s="446"/>
      <c r="N139" s="446"/>
      <c r="O139" s="446"/>
      <c r="P139" s="446"/>
    </row>
    <row r="140" spans="13:16">
      <c r="M140" s="446"/>
      <c r="N140" s="446"/>
      <c r="O140" s="446"/>
      <c r="P140" s="446"/>
    </row>
    <row r="141" spans="13:16">
      <c r="M141" s="446"/>
      <c r="N141" s="446"/>
      <c r="O141" s="446"/>
      <c r="P141" s="446"/>
    </row>
    <row r="142" spans="13:16">
      <c r="M142" s="446"/>
      <c r="N142" s="446"/>
      <c r="O142" s="446"/>
      <c r="P142" s="446"/>
    </row>
    <row r="143" spans="13:16">
      <c r="M143" s="446"/>
      <c r="N143" s="446"/>
      <c r="O143" s="446"/>
      <c r="P143" s="446"/>
    </row>
    <row r="144" spans="13:16">
      <c r="M144" s="446"/>
      <c r="N144" s="446"/>
      <c r="O144" s="446"/>
      <c r="P144" s="446"/>
    </row>
    <row r="145" spans="13:16">
      <c r="M145" s="446"/>
      <c r="N145" s="446"/>
      <c r="O145" s="446"/>
      <c r="P145" s="446"/>
    </row>
    <row r="146" spans="13:16">
      <c r="M146" s="446"/>
      <c r="N146" s="446"/>
      <c r="O146" s="446"/>
      <c r="P146" s="446"/>
    </row>
    <row r="147" spans="13:16">
      <c r="M147" s="446"/>
      <c r="N147" s="446"/>
      <c r="O147" s="446"/>
      <c r="P147" s="446"/>
    </row>
    <row r="148" spans="13:16">
      <c r="M148" s="446"/>
      <c r="N148" s="446"/>
      <c r="O148" s="446"/>
      <c r="P148" s="446"/>
    </row>
    <row r="149" spans="13:16">
      <c r="M149" s="446"/>
      <c r="N149" s="446"/>
      <c r="O149" s="446"/>
      <c r="P149" s="446"/>
    </row>
    <row r="150" spans="13:16">
      <c r="M150" s="446"/>
      <c r="N150" s="446"/>
      <c r="O150" s="446"/>
      <c r="P150" s="446"/>
    </row>
    <row r="151" spans="13:16">
      <c r="M151" s="446"/>
      <c r="N151" s="446"/>
      <c r="O151" s="446"/>
      <c r="P151" s="446"/>
    </row>
    <row r="152" spans="13:16">
      <c r="M152" s="446"/>
      <c r="N152" s="446"/>
      <c r="O152" s="446"/>
      <c r="P152" s="446"/>
    </row>
    <row r="153" spans="13:16">
      <c r="M153" s="446"/>
      <c r="N153" s="446"/>
      <c r="O153" s="446"/>
      <c r="P153" s="446"/>
    </row>
    <row r="154" spans="13:16">
      <c r="M154" s="446"/>
      <c r="N154" s="446"/>
      <c r="O154" s="446"/>
      <c r="P154" s="446"/>
    </row>
    <row r="155" spans="13:16">
      <c r="M155" s="446"/>
      <c r="N155" s="446"/>
      <c r="O155" s="446"/>
      <c r="P155" s="446"/>
    </row>
    <row r="156" spans="13:16">
      <c r="M156" s="446"/>
      <c r="N156" s="446"/>
      <c r="O156" s="446"/>
      <c r="P156" s="446"/>
    </row>
    <row r="157" spans="13:16">
      <c r="M157" s="446"/>
      <c r="N157" s="446"/>
      <c r="O157" s="446"/>
      <c r="P157" s="446"/>
    </row>
    <row r="158" spans="13:16">
      <c r="M158" s="446"/>
      <c r="N158" s="446"/>
      <c r="O158" s="446"/>
      <c r="P158" s="446"/>
    </row>
    <row r="159" spans="13:16">
      <c r="M159" s="446"/>
      <c r="N159" s="446"/>
      <c r="O159" s="446"/>
      <c r="P159" s="446"/>
    </row>
    <row r="160" spans="13:16">
      <c r="M160" s="446"/>
      <c r="N160" s="446"/>
      <c r="O160" s="446"/>
      <c r="P160" s="446"/>
    </row>
    <row r="161" spans="13:16">
      <c r="M161" s="446"/>
      <c r="N161" s="446"/>
      <c r="O161" s="446"/>
      <c r="P161" s="446"/>
    </row>
    <row r="162" spans="13:16">
      <c r="M162" s="446"/>
      <c r="N162" s="446"/>
      <c r="O162" s="446"/>
      <c r="P162" s="446"/>
    </row>
    <row r="163" spans="13:16">
      <c r="M163" s="446"/>
      <c r="N163" s="446"/>
      <c r="O163" s="446"/>
      <c r="P163" s="446"/>
    </row>
    <row r="164" spans="13:16">
      <c r="M164" s="446"/>
      <c r="N164" s="446"/>
      <c r="O164" s="446"/>
      <c r="P164" s="446"/>
    </row>
    <row r="165" spans="13:16">
      <c r="M165" s="446"/>
      <c r="N165" s="446"/>
      <c r="O165" s="446"/>
      <c r="P165" s="446"/>
    </row>
    <row r="166" spans="13:16">
      <c r="M166" s="446"/>
      <c r="N166" s="446"/>
      <c r="O166" s="446"/>
      <c r="P166" s="446"/>
    </row>
    <row r="167" spans="13:16">
      <c r="M167" s="446"/>
      <c r="N167" s="446"/>
      <c r="O167" s="446"/>
      <c r="P167" s="446"/>
    </row>
    <row r="168" spans="13:16">
      <c r="M168" s="446"/>
      <c r="N168" s="446"/>
      <c r="O168" s="446"/>
      <c r="P168" s="446"/>
    </row>
    <row r="169" spans="13:16">
      <c r="M169" s="446"/>
      <c r="N169" s="446"/>
      <c r="O169" s="446"/>
      <c r="P169" s="446"/>
    </row>
    <row r="170" spans="13:16">
      <c r="M170" s="446"/>
      <c r="N170" s="446"/>
      <c r="O170" s="446"/>
      <c r="P170" s="446"/>
    </row>
    <row r="171" spans="13:16">
      <c r="M171" s="446"/>
      <c r="N171" s="446"/>
      <c r="O171" s="446"/>
      <c r="P171" s="446"/>
    </row>
    <row r="172" spans="13:16">
      <c r="M172" s="446"/>
      <c r="N172" s="446"/>
      <c r="O172" s="446"/>
      <c r="P172" s="446"/>
    </row>
    <row r="173" spans="13:16">
      <c r="M173" s="446"/>
      <c r="N173" s="446"/>
      <c r="O173" s="446"/>
      <c r="P173" s="446"/>
    </row>
    <row r="174" spans="13:16">
      <c r="M174" s="446"/>
      <c r="N174" s="446"/>
      <c r="O174" s="446"/>
      <c r="P174" s="446"/>
    </row>
    <row r="175" spans="13:16">
      <c r="M175" s="446"/>
      <c r="N175" s="446"/>
      <c r="O175" s="446"/>
      <c r="P175" s="446"/>
    </row>
    <row r="176" spans="13:16">
      <c r="M176" s="446"/>
      <c r="N176" s="446"/>
      <c r="O176" s="446"/>
      <c r="P176" s="446"/>
    </row>
    <row r="177" spans="13:16">
      <c r="M177" s="446"/>
      <c r="N177" s="446"/>
      <c r="O177" s="446"/>
      <c r="P177" s="446"/>
    </row>
    <row r="178" spans="13:16">
      <c r="M178" s="446"/>
      <c r="N178" s="446"/>
      <c r="O178" s="446"/>
      <c r="P178" s="446"/>
    </row>
    <row r="179" spans="13:16">
      <c r="M179" s="446"/>
      <c r="N179" s="446"/>
      <c r="O179" s="446"/>
      <c r="P179" s="446"/>
    </row>
    <row r="180" spans="13:16">
      <c r="M180" s="446"/>
      <c r="N180" s="446"/>
      <c r="O180" s="446"/>
      <c r="P180" s="446"/>
    </row>
    <row r="181" spans="13:16">
      <c r="M181" s="446"/>
      <c r="N181" s="446"/>
      <c r="O181" s="446"/>
      <c r="P181" s="446"/>
    </row>
    <row r="182" spans="13:16">
      <c r="M182" s="446"/>
      <c r="N182" s="446"/>
      <c r="O182" s="446"/>
      <c r="P182" s="446"/>
    </row>
    <row r="183" spans="13:16">
      <c r="M183" s="446"/>
      <c r="N183" s="446"/>
      <c r="O183" s="446"/>
      <c r="P183" s="446"/>
    </row>
    <row r="184" spans="13:16">
      <c r="M184" s="446"/>
      <c r="N184" s="446"/>
      <c r="O184" s="446"/>
      <c r="P184" s="446"/>
    </row>
    <row r="185" spans="13:16">
      <c r="M185" s="446"/>
      <c r="N185" s="446"/>
      <c r="O185" s="446"/>
      <c r="P185" s="446"/>
    </row>
    <row r="186" spans="13:16">
      <c r="M186" s="446"/>
      <c r="N186" s="446"/>
      <c r="O186" s="446"/>
      <c r="P186" s="446"/>
    </row>
    <row r="187" spans="13:16">
      <c r="M187" s="446"/>
      <c r="N187" s="446"/>
      <c r="O187" s="446"/>
      <c r="P187" s="446"/>
    </row>
    <row r="188" spans="13:16">
      <c r="M188" s="446"/>
      <c r="N188" s="446"/>
      <c r="O188" s="446"/>
      <c r="P188" s="446"/>
    </row>
    <row r="189" spans="13:16">
      <c r="M189" s="446"/>
      <c r="N189" s="446"/>
      <c r="O189" s="446"/>
      <c r="P189" s="446"/>
    </row>
    <row r="190" spans="13:16">
      <c r="M190" s="446"/>
      <c r="N190" s="446"/>
      <c r="O190" s="446"/>
      <c r="P190" s="446"/>
    </row>
    <row r="191" spans="13:16">
      <c r="M191" s="446"/>
      <c r="N191" s="446"/>
      <c r="O191" s="446"/>
      <c r="P191" s="446"/>
    </row>
    <row r="192" spans="13:16">
      <c r="M192" s="446"/>
      <c r="N192" s="446"/>
      <c r="O192" s="446"/>
      <c r="P192" s="446"/>
    </row>
    <row r="193" spans="13:16">
      <c r="M193" s="446"/>
      <c r="N193" s="446"/>
      <c r="O193" s="446"/>
      <c r="P193" s="446"/>
    </row>
    <row r="194" spans="13:16">
      <c r="M194" s="446"/>
      <c r="N194" s="446"/>
      <c r="O194" s="446"/>
      <c r="P194" s="446"/>
    </row>
    <row r="195" spans="13:16">
      <c r="M195" s="446"/>
      <c r="N195" s="446"/>
      <c r="O195" s="446"/>
      <c r="P195" s="446"/>
    </row>
    <row r="196" spans="13:16">
      <c r="M196" s="446"/>
      <c r="N196" s="446"/>
      <c r="O196" s="446"/>
      <c r="P196" s="446"/>
    </row>
    <row r="197" spans="13:16">
      <c r="M197" s="446"/>
      <c r="N197" s="446"/>
      <c r="O197" s="446"/>
      <c r="P197" s="446"/>
    </row>
    <row r="198" spans="13:16">
      <c r="M198" s="446"/>
      <c r="N198" s="446"/>
      <c r="O198" s="446"/>
      <c r="P198" s="446"/>
    </row>
    <row r="199" spans="13:16">
      <c r="M199" s="446"/>
      <c r="N199" s="446"/>
      <c r="O199" s="446"/>
      <c r="P199" s="446"/>
    </row>
    <row r="200" spans="13:16">
      <c r="M200" s="446"/>
      <c r="N200" s="446"/>
      <c r="O200" s="446"/>
      <c r="P200" s="446"/>
    </row>
    <row r="201" spans="13:16">
      <c r="M201" s="446"/>
      <c r="N201" s="446"/>
      <c r="O201" s="446"/>
      <c r="P201" s="446"/>
    </row>
    <row r="202" spans="13:16">
      <c r="M202" s="446"/>
      <c r="N202" s="446"/>
      <c r="O202" s="446"/>
      <c r="P202" s="446"/>
    </row>
    <row r="203" spans="13:16">
      <c r="M203" s="446"/>
      <c r="N203" s="446"/>
      <c r="O203" s="446"/>
      <c r="P203" s="446"/>
    </row>
    <row r="204" spans="13:16">
      <c r="M204" s="446"/>
      <c r="N204" s="446"/>
      <c r="O204" s="446"/>
      <c r="P204" s="446"/>
    </row>
    <row r="205" spans="13:16">
      <c r="M205" s="446"/>
      <c r="N205" s="446"/>
      <c r="O205" s="446"/>
      <c r="P205" s="446"/>
    </row>
    <row r="206" spans="13:16">
      <c r="M206" s="446"/>
      <c r="N206" s="446"/>
      <c r="O206" s="446"/>
      <c r="P206" s="446"/>
    </row>
    <row r="207" spans="13:16">
      <c r="M207" s="446"/>
      <c r="N207" s="446"/>
      <c r="O207" s="446"/>
      <c r="P207" s="446"/>
    </row>
    <row r="208" spans="13:16">
      <c r="M208" s="446"/>
      <c r="N208" s="446"/>
      <c r="O208" s="446"/>
      <c r="P208" s="446"/>
    </row>
    <row r="209" spans="13:16">
      <c r="M209" s="446"/>
      <c r="N209" s="446"/>
      <c r="O209" s="446"/>
      <c r="P209" s="446"/>
    </row>
  </sheetData>
  <autoFilter ref="A9:AW90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44"/>
  <sheetViews>
    <sheetView topLeftCell="A7" workbookViewId="0">
      <pane xSplit="8" ySplit="5" topLeftCell="AK54" activePane="bottomRight" state="frozen"/>
      <selection activeCell="E170" sqref="E170"/>
      <selection pane="topRight" activeCell="E170" sqref="E170"/>
      <selection pane="bottomLeft" activeCell="E170" sqref="E170"/>
      <selection pane="bottomRight" activeCell="AH83" sqref="AH83"/>
    </sheetView>
  </sheetViews>
  <sheetFormatPr defaultRowHeight="12.75"/>
  <cols>
    <col min="1" max="1" width="4.85546875" style="399" customWidth="1"/>
    <col min="2" max="2" width="9" style="399" customWidth="1"/>
    <col min="3" max="3" width="7.85546875" style="399" customWidth="1"/>
    <col min="4" max="4" width="9.7109375" style="399" customWidth="1"/>
    <col min="5" max="5" width="40.28515625" style="399" customWidth="1"/>
    <col min="6" max="6" width="12.7109375" style="399" customWidth="1"/>
    <col min="7" max="8" width="5.85546875" style="400" customWidth="1"/>
    <col min="9" max="9" width="4.85546875" style="399" customWidth="1"/>
    <col min="10" max="10" width="15.42578125" style="399" customWidth="1"/>
    <col min="11" max="11" width="15.140625" style="399" customWidth="1"/>
    <col min="12" max="12" width="12.7109375" style="399" customWidth="1"/>
    <col min="13" max="13" width="12.5703125" style="399" customWidth="1"/>
    <col min="14" max="14" width="14.5703125" style="399" customWidth="1"/>
    <col min="15" max="15" width="4.28515625" style="399" customWidth="1"/>
    <col min="16" max="17" width="7.140625" style="399" customWidth="1"/>
    <col min="18" max="21" width="12.85546875" style="399" customWidth="1"/>
    <col min="22" max="25" width="6.85546875" style="399" customWidth="1"/>
    <col min="26" max="27" width="10.5703125" style="399" customWidth="1"/>
    <col min="28" max="29" width="6.28515625" style="399" customWidth="1"/>
    <col min="30" max="30" width="6.140625" style="399" customWidth="1"/>
    <col min="31" max="31" width="13.28515625" style="399" customWidth="1"/>
    <col min="32" max="32" width="11.5703125" style="399" customWidth="1"/>
    <col min="33" max="33" width="5.85546875" style="399" customWidth="1"/>
    <col min="34" max="35" width="13.140625" style="399" customWidth="1"/>
    <col min="36" max="36" width="11.28515625" style="399" customWidth="1"/>
    <col min="37" max="37" width="11.140625" style="399" customWidth="1"/>
    <col min="38" max="39" width="12.5703125" style="399" customWidth="1"/>
    <col min="40" max="40" width="13.42578125" style="399" customWidth="1"/>
    <col min="41" max="41" width="12.7109375" style="399" customWidth="1"/>
    <col min="42" max="42" width="11.85546875" style="399" customWidth="1"/>
    <col min="43" max="43" width="11.5703125" style="399" customWidth="1"/>
    <col min="44" max="44" width="14.7109375" style="399" customWidth="1"/>
    <col min="45" max="45" width="15.7109375" style="399" customWidth="1"/>
    <col min="46" max="46" width="13.42578125" style="399" customWidth="1"/>
    <col min="47" max="47" width="12.7109375" style="399" customWidth="1"/>
    <col min="48" max="49" width="13.140625" style="399" customWidth="1"/>
    <col min="50" max="16384" width="9.140625" style="399"/>
  </cols>
  <sheetData>
    <row r="1" spans="1:49" ht="12.75" customHeight="1">
      <c r="A1" s="395"/>
      <c r="B1" s="396" t="s">
        <v>180</v>
      </c>
      <c r="C1" s="397"/>
      <c r="D1" s="397"/>
      <c r="E1" s="398"/>
      <c r="I1" s="397"/>
      <c r="M1" s="397" t="s">
        <v>303</v>
      </c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7"/>
      <c r="AM1" s="397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282</v>
      </c>
      <c r="C2" s="397"/>
      <c r="D2" s="397"/>
      <c r="E2" s="397"/>
      <c r="I2" s="401"/>
      <c r="M2" s="499" t="s">
        <v>304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499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00" t="s">
        <v>170</v>
      </c>
      <c r="C4" s="500"/>
      <c r="D4" s="500"/>
      <c r="E4" s="500"/>
      <c r="F4" s="500"/>
      <c r="G4" s="500"/>
      <c r="H4" s="500"/>
      <c r="I4" s="500"/>
      <c r="J4" s="500"/>
      <c r="K4" s="500"/>
      <c r="L4" s="500"/>
      <c r="M4" s="500"/>
      <c r="N4" s="404"/>
      <c r="O4" s="404"/>
      <c r="P4" s="404"/>
      <c r="Q4" s="404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01" t="s">
        <v>438</v>
      </c>
      <c r="C5" s="501"/>
      <c r="D5" s="501"/>
      <c r="E5" s="501"/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407"/>
    </row>
    <row r="7" spans="1:49" ht="13.5" customHeight="1">
      <c r="A7" s="502" t="s">
        <v>50</v>
      </c>
      <c r="B7" s="496" t="s">
        <v>30</v>
      </c>
      <c r="C7" s="504" t="s">
        <v>1</v>
      </c>
      <c r="D7" s="505"/>
      <c r="E7" s="496" t="s">
        <v>0</v>
      </c>
      <c r="F7" s="496" t="s">
        <v>171</v>
      </c>
      <c r="G7" s="506" t="s">
        <v>172</v>
      </c>
      <c r="H7" s="506"/>
      <c r="I7" s="497" t="s">
        <v>50</v>
      </c>
      <c r="J7" s="496" t="s">
        <v>305</v>
      </c>
      <c r="K7" s="496"/>
      <c r="L7" s="496" t="s">
        <v>306</v>
      </c>
      <c r="M7" s="496"/>
      <c r="N7" s="496" t="s">
        <v>307</v>
      </c>
      <c r="O7" s="496"/>
      <c r="P7" s="496" t="s">
        <v>308</v>
      </c>
      <c r="Q7" s="496"/>
      <c r="R7" s="496" t="s">
        <v>309</v>
      </c>
      <c r="S7" s="496"/>
      <c r="T7" s="496" t="s">
        <v>310</v>
      </c>
      <c r="U7" s="496"/>
      <c r="V7" s="496" t="s">
        <v>311</v>
      </c>
      <c r="W7" s="496"/>
      <c r="X7" s="496" t="s">
        <v>312</v>
      </c>
      <c r="Y7" s="496"/>
      <c r="Z7" s="496" t="s">
        <v>313</v>
      </c>
      <c r="AA7" s="496"/>
      <c r="AB7" s="496" t="s">
        <v>314</v>
      </c>
      <c r="AC7" s="496"/>
      <c r="AD7" s="496" t="s">
        <v>315</v>
      </c>
      <c r="AE7" s="496"/>
      <c r="AF7" s="496" t="s">
        <v>316</v>
      </c>
      <c r="AG7" s="496"/>
      <c r="AH7" s="496" t="s">
        <v>317</v>
      </c>
      <c r="AI7" s="496"/>
      <c r="AJ7" s="496" t="s">
        <v>318</v>
      </c>
      <c r="AK7" s="496"/>
      <c r="AL7" s="496" t="s">
        <v>319</v>
      </c>
      <c r="AM7" s="496"/>
      <c r="AN7" s="496" t="s">
        <v>320</v>
      </c>
      <c r="AO7" s="496"/>
      <c r="AP7" s="496" t="s">
        <v>321</v>
      </c>
      <c r="AQ7" s="496"/>
      <c r="AR7" s="496" t="s">
        <v>322</v>
      </c>
      <c r="AS7" s="496"/>
      <c r="AT7" s="496" t="s">
        <v>323</v>
      </c>
      <c r="AU7" s="496"/>
      <c r="AV7" s="496" t="s">
        <v>324</v>
      </c>
      <c r="AW7" s="496"/>
    </row>
    <row r="8" spans="1:49" ht="22.5" customHeight="1">
      <c r="A8" s="503"/>
      <c r="B8" s="496"/>
      <c r="C8" s="410" t="s">
        <v>19</v>
      </c>
      <c r="D8" s="409" t="s">
        <v>42</v>
      </c>
      <c r="E8" s="496"/>
      <c r="F8" s="496"/>
      <c r="G8" s="411" t="s">
        <v>32</v>
      </c>
      <c r="H8" s="411" t="s">
        <v>33</v>
      </c>
      <c r="I8" s="497"/>
      <c r="J8" s="409" t="s">
        <v>32</v>
      </c>
      <c r="K8" s="409" t="s">
        <v>33</v>
      </c>
      <c r="L8" s="409" t="s">
        <v>32</v>
      </c>
      <c r="M8" s="409" t="s">
        <v>33</v>
      </c>
      <c r="N8" s="409" t="s">
        <v>32</v>
      </c>
      <c r="O8" s="409" t="s">
        <v>33</v>
      </c>
      <c r="P8" s="409" t="s">
        <v>32</v>
      </c>
      <c r="Q8" s="409" t="s">
        <v>33</v>
      </c>
      <c r="R8" s="409" t="s">
        <v>32</v>
      </c>
      <c r="S8" s="409" t="s">
        <v>33</v>
      </c>
      <c r="T8" s="409" t="s">
        <v>32</v>
      </c>
      <c r="U8" s="409" t="s">
        <v>33</v>
      </c>
      <c r="V8" s="409" t="s">
        <v>32</v>
      </c>
      <c r="W8" s="409" t="s">
        <v>33</v>
      </c>
      <c r="X8" s="409" t="s">
        <v>32</v>
      </c>
      <c r="Y8" s="409" t="s">
        <v>33</v>
      </c>
      <c r="Z8" s="409" t="s">
        <v>32</v>
      </c>
      <c r="AA8" s="409" t="s">
        <v>33</v>
      </c>
      <c r="AB8" s="409" t="s">
        <v>32</v>
      </c>
      <c r="AC8" s="409" t="s">
        <v>33</v>
      </c>
      <c r="AD8" s="409" t="s">
        <v>32</v>
      </c>
      <c r="AE8" s="409" t="s">
        <v>33</v>
      </c>
      <c r="AF8" s="409" t="s">
        <v>32</v>
      </c>
      <c r="AG8" s="409" t="s">
        <v>33</v>
      </c>
      <c r="AH8" s="409" t="s">
        <v>32</v>
      </c>
      <c r="AI8" s="409" t="s">
        <v>33</v>
      </c>
      <c r="AJ8" s="409" t="s">
        <v>32</v>
      </c>
      <c r="AK8" s="409" t="s">
        <v>33</v>
      </c>
      <c r="AL8" s="409" t="s">
        <v>32</v>
      </c>
      <c r="AM8" s="409" t="s">
        <v>33</v>
      </c>
      <c r="AN8" s="409" t="s">
        <v>32</v>
      </c>
      <c r="AO8" s="409" t="s">
        <v>33</v>
      </c>
      <c r="AP8" s="409" t="s">
        <v>32</v>
      </c>
      <c r="AQ8" s="409" t="s">
        <v>33</v>
      </c>
      <c r="AR8" s="409" t="s">
        <v>32</v>
      </c>
      <c r="AS8" s="409" t="s">
        <v>33</v>
      </c>
      <c r="AT8" s="409" t="s">
        <v>32</v>
      </c>
      <c r="AU8" s="409" t="s">
        <v>33</v>
      </c>
      <c r="AV8" s="409" t="s">
        <v>32</v>
      </c>
      <c r="AW8" s="409" t="s">
        <v>33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73" t="str">
        <f t="array" ref="A10">IF(C10&lt;&gt;0,SUM(($C10:C$15&lt;&gt;0)*1),"")</f>
        <v/>
      </c>
      <c r="B10" s="414"/>
      <c r="C10" s="415"/>
      <c r="D10" s="414"/>
      <c r="E10" s="416" t="s">
        <v>273</v>
      </c>
      <c r="F10" s="417"/>
      <c r="G10" s="418"/>
      <c r="H10" s="418"/>
      <c r="I10" s="419"/>
      <c r="J10" s="420">
        <f>'07-09'!J89</f>
        <v>1800943500</v>
      </c>
      <c r="K10" s="420">
        <f>'07-09'!K89</f>
        <v>0</v>
      </c>
      <c r="L10" s="420">
        <f>'07-09'!L89</f>
        <v>839154687</v>
      </c>
      <c r="M10" s="420">
        <f>'07-09'!M89</f>
        <v>0</v>
      </c>
      <c r="N10" s="420">
        <f>'07-09'!N89</f>
        <v>163318285</v>
      </c>
      <c r="O10" s="420">
        <f>'07-09'!O89</f>
        <v>0</v>
      </c>
      <c r="P10" s="420">
        <f>'07-09'!P89</f>
        <v>0</v>
      </c>
      <c r="Q10" s="420">
        <f>'07-09'!Q89</f>
        <v>0</v>
      </c>
      <c r="R10" s="420">
        <f>'07-09'!R89</f>
        <v>1579386736</v>
      </c>
      <c r="S10" s="420">
        <f>'07-09'!S89</f>
        <v>0</v>
      </c>
      <c r="T10" s="420">
        <f>'07-09'!T89</f>
        <v>2428785840</v>
      </c>
      <c r="U10" s="420">
        <f>'07-09'!U89</f>
        <v>0</v>
      </c>
      <c r="V10" s="420">
        <f>'07-09'!V89</f>
        <v>0</v>
      </c>
      <c r="W10" s="420">
        <f>'07-09'!W89</f>
        <v>0</v>
      </c>
      <c r="X10" s="420">
        <f>'07-09'!X89</f>
        <v>0</v>
      </c>
      <c r="Y10" s="420">
        <f>'07-09'!Y89</f>
        <v>0</v>
      </c>
      <c r="Z10" s="420">
        <f>'07-09'!Z89</f>
        <v>0</v>
      </c>
      <c r="AA10" s="420">
        <f>'07-09'!AA89</f>
        <v>0</v>
      </c>
      <c r="AB10" s="420">
        <f>'07-09'!AB89</f>
        <v>0</v>
      </c>
      <c r="AC10" s="420">
        <f>'07-09'!AC89</f>
        <v>0</v>
      </c>
      <c r="AD10" s="420">
        <f>'07-09'!AD89</f>
        <v>0</v>
      </c>
      <c r="AE10" s="420">
        <f>'07-09'!AE89</f>
        <v>4000000000</v>
      </c>
      <c r="AF10" s="420">
        <f>'07-09'!AF89</f>
        <v>124728000</v>
      </c>
      <c r="AG10" s="420">
        <f>'07-09'!AG89</f>
        <v>0</v>
      </c>
      <c r="AH10" s="420">
        <f>'07-09'!AH89</f>
        <v>0</v>
      </c>
      <c r="AI10" s="420">
        <f>'07-09'!AI89</f>
        <v>0</v>
      </c>
      <c r="AJ10" s="420">
        <f>'07-09'!AJ89</f>
        <v>0</v>
      </c>
      <c r="AK10" s="420">
        <f>'07-09'!AK89</f>
        <v>0</v>
      </c>
      <c r="AL10" s="420">
        <f>'07-09'!AL89</f>
        <v>0</v>
      </c>
      <c r="AM10" s="420">
        <f>'07-09'!AM89</f>
        <v>0</v>
      </c>
      <c r="AN10" s="420">
        <f>'07-09'!AN89</f>
        <v>0</v>
      </c>
      <c r="AO10" s="420">
        <f>'07-09'!AO89</f>
        <v>0</v>
      </c>
      <c r="AP10" s="420">
        <f>'07-09'!AP89</f>
        <v>0</v>
      </c>
      <c r="AQ10" s="420">
        <f>'07-09'!AQ89</f>
        <v>0</v>
      </c>
      <c r="AR10" s="420">
        <f>'07-09'!AR89</f>
        <v>0</v>
      </c>
      <c r="AS10" s="420">
        <f>'07-09'!AS89</f>
        <v>0</v>
      </c>
      <c r="AT10" s="420">
        <f>'07-09'!AT89</f>
        <v>0</v>
      </c>
      <c r="AU10" s="420">
        <f>'07-09'!AU89</f>
        <v>0</v>
      </c>
      <c r="AV10" s="420">
        <f>'07-09'!AV89</f>
        <v>0</v>
      </c>
      <c r="AW10" s="420">
        <f>'07-09'!AW89</f>
        <v>238650</v>
      </c>
    </row>
    <row r="11" spans="1:49" s="421" customFormat="1" ht="12" customHeight="1">
      <c r="A11" s="73">
        <f t="array" ref="A11">IF(C11&lt;&gt;0,SUM(($C$11:C11&lt;&gt;0)*1),"")</f>
        <v>1</v>
      </c>
      <c r="B11" s="422">
        <v>41915</v>
      </c>
      <c r="C11" s="316" t="s">
        <v>8</v>
      </c>
      <c r="D11" s="316">
        <v>41915</v>
      </c>
      <c r="E11" s="423" t="s">
        <v>415</v>
      </c>
      <c r="F11" s="75">
        <v>16327199</v>
      </c>
      <c r="G11" s="425" t="s">
        <v>9</v>
      </c>
      <c r="H11" s="425" t="s">
        <v>34</v>
      </c>
      <c r="I11" s="73">
        <f t="shared" ref="I11:I72" si="0">A11</f>
        <v>1</v>
      </c>
      <c r="J11" s="426">
        <f t="shared" ref="J11:J72" si="1">IF($G11="1111",$F11,0)</f>
        <v>0</v>
      </c>
      <c r="K11" s="426">
        <f t="shared" ref="K11:K72" si="2">IF($H11="1111",$F11,0)</f>
        <v>0</v>
      </c>
      <c r="L11" s="426">
        <f t="shared" ref="L11:L72" si="3">IF($G11="1121",$F11,0)</f>
        <v>0</v>
      </c>
      <c r="M11" s="426">
        <f t="shared" ref="M11:M72" si="4">IF($H11="1121",$F11,0)</f>
        <v>16327199</v>
      </c>
      <c r="N11" s="426">
        <f t="shared" ref="N11:N72" si="5">IF($G11="1331",$F11,0)</f>
        <v>0</v>
      </c>
      <c r="O11" s="426">
        <f t="shared" ref="O11:O72" si="6">IF($H11="1331",$F11,0)</f>
        <v>0</v>
      </c>
      <c r="P11" s="426">
        <f t="shared" ref="P11:P72" si="7">IF($G11="1388",$F11,0)</f>
        <v>0</v>
      </c>
      <c r="Q11" s="426">
        <f t="shared" ref="Q11:Q72" si="8">IF($H11="1388",$F11,0)</f>
        <v>0</v>
      </c>
      <c r="R11" s="426">
        <f>IF($G11="2412",$F11,0)</f>
        <v>0</v>
      </c>
      <c r="S11" s="426">
        <f>IF($H11="2412",$F11,0)</f>
        <v>0</v>
      </c>
      <c r="T11" s="426">
        <f t="shared" ref="T11:T72" si="9">IF($G11="331",$F11,0)</f>
        <v>16327199</v>
      </c>
      <c r="U11" s="426">
        <f t="shared" ref="U11:U72" si="10">IF($H11="331",$F11,0)</f>
        <v>0</v>
      </c>
      <c r="V11" s="426">
        <f t="shared" ref="V11:V72" si="11">IF($G11="3334",$F11,0)</f>
        <v>0</v>
      </c>
      <c r="W11" s="426">
        <f t="shared" ref="W11:W72" si="12">IF($H11="3334",$F11,0)</f>
        <v>0</v>
      </c>
      <c r="X11" s="426">
        <f t="shared" ref="X11:X72" si="13">IF($G11="33382",$F11,0)</f>
        <v>0</v>
      </c>
      <c r="Y11" s="426">
        <f t="shared" ref="Y11:Y72" si="14">IF($H11="33382",$F11,0)</f>
        <v>0</v>
      </c>
      <c r="Z11" s="426">
        <f t="shared" ref="Z11:Z72" si="15">IF($G11="3388",$F11,0)</f>
        <v>0</v>
      </c>
      <c r="AA11" s="426">
        <f t="shared" ref="AA11:AA72" si="16">IF($H11="3388",$F11,0)</f>
        <v>0</v>
      </c>
      <c r="AB11" s="426">
        <f t="shared" ref="AB11:AB72" si="17">IF($G11="3411",$F11,0)</f>
        <v>0</v>
      </c>
      <c r="AC11" s="426">
        <f t="shared" ref="AC11:AC72" si="18">IF($H11="3411",$F11,0)</f>
        <v>0</v>
      </c>
      <c r="AD11" s="426">
        <f t="shared" ref="AD11:AD72" si="19">IF($G11="4111",$F11,0)</f>
        <v>0</v>
      </c>
      <c r="AE11" s="426">
        <f t="shared" ref="AE11:AE72" si="20">IF($H11="4111",$F11,0)</f>
        <v>0</v>
      </c>
      <c r="AF11" s="426">
        <f t="shared" ref="AF11:AF72" si="21">IF($G11="4211",$F11,0)</f>
        <v>0</v>
      </c>
      <c r="AG11" s="426">
        <f t="shared" ref="AG11:AG72" si="22">IF($H11="4211",$F11,0)</f>
        <v>0</v>
      </c>
      <c r="AH11" s="426">
        <f t="shared" ref="AH11:AH72" si="23">IF($G11="4212",$F11,0)</f>
        <v>0</v>
      </c>
      <c r="AI11" s="426">
        <f t="shared" ref="AI11:AI72" si="24">IF($H11="4212",$F11,0)</f>
        <v>0</v>
      </c>
      <c r="AJ11" s="426">
        <f t="shared" ref="AJ11:AJ72" si="25">IF($G11="515",$F11,0)</f>
        <v>0</v>
      </c>
      <c r="AK11" s="426">
        <f t="shared" ref="AK11:AK72" si="26">IF($H11="515",$F11,0)</f>
        <v>0</v>
      </c>
      <c r="AL11" s="426">
        <f t="shared" ref="AL11:AL72" si="27">IF($G11="635",$F11,0)</f>
        <v>0</v>
      </c>
      <c r="AM11" s="426">
        <f t="shared" ref="AM11:AM72" si="28">IF($H11="635",$F11,0)</f>
        <v>0</v>
      </c>
      <c r="AN11" s="426">
        <f t="shared" ref="AN11:AN72" si="29">IF($G11="642",$F11,0)</f>
        <v>0</v>
      </c>
      <c r="AO11" s="426">
        <f t="shared" ref="AO11:AO72" si="30">IF($H11="642",$F11,0)</f>
        <v>0</v>
      </c>
      <c r="AP11" s="426">
        <f t="shared" ref="AP11:AP72" si="31">IF($G11="711",$F11,0)</f>
        <v>0</v>
      </c>
      <c r="AQ11" s="426">
        <f t="shared" ref="AQ11:AQ72" si="32">IF($H11="711",$F11,0)</f>
        <v>0</v>
      </c>
      <c r="AR11" s="426">
        <f t="shared" ref="AR11:AR72" si="33">IF($G11="811",$F11,0)</f>
        <v>0</v>
      </c>
      <c r="AS11" s="426">
        <f t="shared" ref="AS11:AS72" si="34">IF($H11="811",$F11,0)</f>
        <v>0</v>
      </c>
      <c r="AT11" s="426">
        <f t="shared" ref="AT11:AT72" si="35">IF($G11="821",$F11,0)</f>
        <v>0</v>
      </c>
      <c r="AU11" s="426">
        <f t="shared" ref="AU11:AU72" si="36">IF($H11="821",$F11,0)</f>
        <v>0</v>
      </c>
      <c r="AV11" s="426">
        <f t="shared" ref="AV11:AV72" si="37">IF($G11="911",$F11,0)</f>
        <v>0</v>
      </c>
      <c r="AW11" s="426">
        <f t="shared" ref="AW11:AW72" si="38">IF($H11="911",$F11,0)</f>
        <v>0</v>
      </c>
    </row>
    <row r="12" spans="1:49" s="421" customFormat="1" ht="12" customHeight="1">
      <c r="A12" s="73">
        <f t="array" ref="A12">IF(C12&lt;&gt;0,SUM(($C$11:C12&lt;&gt;0)*1),"")</f>
        <v>2</v>
      </c>
      <c r="B12" s="422">
        <v>41915</v>
      </c>
      <c r="C12" s="316" t="s">
        <v>8</v>
      </c>
      <c r="D12" s="316">
        <v>41915</v>
      </c>
      <c r="E12" s="423" t="s">
        <v>21</v>
      </c>
      <c r="F12" s="75">
        <v>25000</v>
      </c>
      <c r="G12" s="425" t="s">
        <v>348</v>
      </c>
      <c r="H12" s="425" t="s">
        <v>34</v>
      </c>
      <c r="I12" s="73">
        <f t="shared" si="0"/>
        <v>2</v>
      </c>
      <c r="J12" s="426">
        <f t="shared" si="1"/>
        <v>0</v>
      </c>
      <c r="K12" s="426">
        <f t="shared" si="2"/>
        <v>0</v>
      </c>
      <c r="L12" s="426">
        <f t="shared" si="3"/>
        <v>0</v>
      </c>
      <c r="M12" s="426">
        <f t="shared" si="4"/>
        <v>25000</v>
      </c>
      <c r="N12" s="426">
        <f t="shared" si="5"/>
        <v>0</v>
      </c>
      <c r="O12" s="426">
        <f t="shared" si="6"/>
        <v>0</v>
      </c>
      <c r="P12" s="426">
        <f t="shared" si="7"/>
        <v>0</v>
      </c>
      <c r="Q12" s="426">
        <f t="shared" si="8"/>
        <v>0</v>
      </c>
      <c r="R12" s="426">
        <f t="shared" ref="R12:R72" si="39">IF($G12="2412",$F12,0)</f>
        <v>0</v>
      </c>
      <c r="S12" s="426">
        <f t="shared" ref="S12:S72" si="40">IF($H12="2412",$F12,0)</f>
        <v>0</v>
      </c>
      <c r="T12" s="426">
        <f t="shared" si="9"/>
        <v>0</v>
      </c>
      <c r="U12" s="426">
        <f t="shared" si="10"/>
        <v>0</v>
      </c>
      <c r="V12" s="426">
        <f t="shared" si="11"/>
        <v>0</v>
      </c>
      <c r="W12" s="426">
        <f t="shared" si="12"/>
        <v>0</v>
      </c>
      <c r="X12" s="426">
        <f t="shared" si="13"/>
        <v>0</v>
      </c>
      <c r="Y12" s="426">
        <f t="shared" si="14"/>
        <v>0</v>
      </c>
      <c r="Z12" s="426">
        <f t="shared" si="15"/>
        <v>0</v>
      </c>
      <c r="AA12" s="426">
        <f t="shared" si="16"/>
        <v>0</v>
      </c>
      <c r="AB12" s="426">
        <f t="shared" si="17"/>
        <v>0</v>
      </c>
      <c r="AC12" s="426">
        <f t="shared" si="18"/>
        <v>0</v>
      </c>
      <c r="AD12" s="426">
        <f t="shared" si="19"/>
        <v>0</v>
      </c>
      <c r="AE12" s="426">
        <f t="shared" si="20"/>
        <v>0</v>
      </c>
      <c r="AF12" s="426">
        <f t="shared" si="21"/>
        <v>0</v>
      </c>
      <c r="AG12" s="426">
        <f t="shared" si="22"/>
        <v>0</v>
      </c>
      <c r="AH12" s="426">
        <f t="shared" si="23"/>
        <v>0</v>
      </c>
      <c r="AI12" s="426">
        <f t="shared" si="24"/>
        <v>0</v>
      </c>
      <c r="AJ12" s="426">
        <f t="shared" si="25"/>
        <v>0</v>
      </c>
      <c r="AK12" s="426">
        <f t="shared" si="26"/>
        <v>0</v>
      </c>
      <c r="AL12" s="426">
        <f t="shared" si="27"/>
        <v>0</v>
      </c>
      <c r="AM12" s="426">
        <f t="shared" si="28"/>
        <v>0</v>
      </c>
      <c r="AN12" s="426">
        <f t="shared" si="29"/>
        <v>0</v>
      </c>
      <c r="AO12" s="426">
        <f t="shared" si="30"/>
        <v>0</v>
      </c>
      <c r="AP12" s="426">
        <f t="shared" si="31"/>
        <v>0</v>
      </c>
      <c r="AQ12" s="426">
        <f t="shared" si="32"/>
        <v>0</v>
      </c>
      <c r="AR12" s="426">
        <f t="shared" si="33"/>
        <v>0</v>
      </c>
      <c r="AS12" s="426">
        <f t="shared" si="34"/>
        <v>0</v>
      </c>
      <c r="AT12" s="426">
        <f t="shared" si="35"/>
        <v>0</v>
      </c>
      <c r="AU12" s="426">
        <f t="shared" si="36"/>
        <v>0</v>
      </c>
      <c r="AV12" s="426">
        <f t="shared" si="37"/>
        <v>0</v>
      </c>
      <c r="AW12" s="426">
        <f t="shared" si="38"/>
        <v>0</v>
      </c>
    </row>
    <row r="13" spans="1:49" s="421" customFormat="1" ht="12" customHeight="1">
      <c r="A13" s="73">
        <f t="array" ref="A13">IF(C13&lt;&gt;0,SUM(($C$11:C13&lt;&gt;0)*1),"")</f>
        <v>3</v>
      </c>
      <c r="B13" s="422">
        <v>41915</v>
      </c>
      <c r="C13" s="316" t="s">
        <v>8</v>
      </c>
      <c r="D13" s="316">
        <v>41915</v>
      </c>
      <c r="E13" s="423" t="s">
        <v>335</v>
      </c>
      <c r="F13" s="75">
        <v>2500</v>
      </c>
      <c r="G13" s="425" t="s">
        <v>10</v>
      </c>
      <c r="H13" s="425" t="s">
        <v>34</v>
      </c>
      <c r="I13" s="73">
        <f t="shared" si="0"/>
        <v>3</v>
      </c>
      <c r="J13" s="426">
        <f t="shared" si="1"/>
        <v>0</v>
      </c>
      <c r="K13" s="426">
        <f t="shared" si="2"/>
        <v>0</v>
      </c>
      <c r="L13" s="426">
        <f t="shared" si="3"/>
        <v>0</v>
      </c>
      <c r="M13" s="426">
        <f t="shared" si="4"/>
        <v>2500</v>
      </c>
      <c r="N13" s="426">
        <f t="shared" si="5"/>
        <v>2500</v>
      </c>
      <c r="O13" s="426">
        <f t="shared" si="6"/>
        <v>0</v>
      </c>
      <c r="P13" s="426">
        <f t="shared" si="7"/>
        <v>0</v>
      </c>
      <c r="Q13" s="426">
        <f t="shared" si="8"/>
        <v>0</v>
      </c>
      <c r="R13" s="426">
        <f t="shared" si="39"/>
        <v>0</v>
      </c>
      <c r="S13" s="426">
        <f t="shared" si="40"/>
        <v>0</v>
      </c>
      <c r="T13" s="426">
        <f t="shared" si="9"/>
        <v>0</v>
      </c>
      <c r="U13" s="426">
        <f t="shared" si="10"/>
        <v>0</v>
      </c>
      <c r="V13" s="426">
        <f t="shared" si="11"/>
        <v>0</v>
      </c>
      <c r="W13" s="426">
        <f t="shared" si="12"/>
        <v>0</v>
      </c>
      <c r="X13" s="426">
        <f t="shared" si="13"/>
        <v>0</v>
      </c>
      <c r="Y13" s="426">
        <f t="shared" si="14"/>
        <v>0</v>
      </c>
      <c r="Z13" s="426">
        <f t="shared" si="15"/>
        <v>0</v>
      </c>
      <c r="AA13" s="426">
        <f t="shared" si="16"/>
        <v>0</v>
      </c>
      <c r="AB13" s="426">
        <f t="shared" si="17"/>
        <v>0</v>
      </c>
      <c r="AC13" s="426">
        <f t="shared" si="18"/>
        <v>0</v>
      </c>
      <c r="AD13" s="426">
        <f t="shared" si="19"/>
        <v>0</v>
      </c>
      <c r="AE13" s="426">
        <f t="shared" si="20"/>
        <v>0</v>
      </c>
      <c r="AF13" s="426">
        <f t="shared" si="21"/>
        <v>0</v>
      </c>
      <c r="AG13" s="426">
        <f t="shared" si="22"/>
        <v>0</v>
      </c>
      <c r="AH13" s="426">
        <f t="shared" si="23"/>
        <v>0</v>
      </c>
      <c r="AI13" s="426">
        <f t="shared" si="24"/>
        <v>0</v>
      </c>
      <c r="AJ13" s="426">
        <f t="shared" si="25"/>
        <v>0</v>
      </c>
      <c r="AK13" s="426">
        <f t="shared" si="26"/>
        <v>0</v>
      </c>
      <c r="AL13" s="426">
        <f t="shared" si="27"/>
        <v>0</v>
      </c>
      <c r="AM13" s="426">
        <f t="shared" si="28"/>
        <v>0</v>
      </c>
      <c r="AN13" s="426">
        <f t="shared" si="29"/>
        <v>0</v>
      </c>
      <c r="AO13" s="426">
        <f t="shared" si="30"/>
        <v>0</v>
      </c>
      <c r="AP13" s="426">
        <f t="shared" si="31"/>
        <v>0</v>
      </c>
      <c r="AQ13" s="426">
        <f t="shared" si="32"/>
        <v>0</v>
      </c>
      <c r="AR13" s="426">
        <f t="shared" si="33"/>
        <v>0</v>
      </c>
      <c r="AS13" s="426">
        <f t="shared" si="34"/>
        <v>0</v>
      </c>
      <c r="AT13" s="426">
        <f t="shared" si="35"/>
        <v>0</v>
      </c>
      <c r="AU13" s="426">
        <f t="shared" si="36"/>
        <v>0</v>
      </c>
      <c r="AV13" s="426">
        <f t="shared" si="37"/>
        <v>0</v>
      </c>
      <c r="AW13" s="426">
        <f t="shared" si="38"/>
        <v>0</v>
      </c>
    </row>
    <row r="14" spans="1:49" s="421" customFormat="1" ht="12" customHeight="1">
      <c r="A14" s="73">
        <f t="array" ref="A14">IF(C14&lt;&gt;0,SUM(($C$11:C14&lt;&gt;0)*1),"")</f>
        <v>4</v>
      </c>
      <c r="B14" s="422">
        <v>41918</v>
      </c>
      <c r="C14" s="316" t="s">
        <v>8</v>
      </c>
      <c r="D14" s="316">
        <v>41918</v>
      </c>
      <c r="E14" s="423" t="s">
        <v>416</v>
      </c>
      <c r="F14" s="75">
        <v>34408000</v>
      </c>
      <c r="G14" s="425" t="s">
        <v>9</v>
      </c>
      <c r="H14" s="425" t="s">
        <v>34</v>
      </c>
      <c r="I14" s="73">
        <f t="shared" si="0"/>
        <v>4</v>
      </c>
      <c r="J14" s="426">
        <f t="shared" si="1"/>
        <v>0</v>
      </c>
      <c r="K14" s="426">
        <f t="shared" si="2"/>
        <v>0</v>
      </c>
      <c r="L14" s="426">
        <f t="shared" si="3"/>
        <v>0</v>
      </c>
      <c r="M14" s="426">
        <f t="shared" si="4"/>
        <v>34408000</v>
      </c>
      <c r="N14" s="426">
        <f t="shared" si="5"/>
        <v>0</v>
      </c>
      <c r="O14" s="426">
        <f t="shared" si="6"/>
        <v>0</v>
      </c>
      <c r="P14" s="426">
        <f t="shared" si="7"/>
        <v>0</v>
      </c>
      <c r="Q14" s="426">
        <f t="shared" si="8"/>
        <v>0</v>
      </c>
      <c r="R14" s="426">
        <f t="shared" si="39"/>
        <v>0</v>
      </c>
      <c r="S14" s="426">
        <f t="shared" si="40"/>
        <v>0</v>
      </c>
      <c r="T14" s="426">
        <f t="shared" si="9"/>
        <v>34408000</v>
      </c>
      <c r="U14" s="426">
        <f t="shared" si="10"/>
        <v>0</v>
      </c>
      <c r="V14" s="426">
        <f t="shared" si="11"/>
        <v>0</v>
      </c>
      <c r="W14" s="426">
        <f t="shared" si="12"/>
        <v>0</v>
      </c>
      <c r="X14" s="426">
        <f t="shared" si="13"/>
        <v>0</v>
      </c>
      <c r="Y14" s="426">
        <f t="shared" si="14"/>
        <v>0</v>
      </c>
      <c r="Z14" s="426">
        <f t="shared" si="15"/>
        <v>0</v>
      </c>
      <c r="AA14" s="426">
        <f t="shared" si="16"/>
        <v>0</v>
      </c>
      <c r="AB14" s="426">
        <f t="shared" si="17"/>
        <v>0</v>
      </c>
      <c r="AC14" s="426">
        <f t="shared" si="18"/>
        <v>0</v>
      </c>
      <c r="AD14" s="426">
        <f t="shared" si="19"/>
        <v>0</v>
      </c>
      <c r="AE14" s="426">
        <f t="shared" si="20"/>
        <v>0</v>
      </c>
      <c r="AF14" s="426">
        <f t="shared" si="21"/>
        <v>0</v>
      </c>
      <c r="AG14" s="426">
        <f t="shared" si="22"/>
        <v>0</v>
      </c>
      <c r="AH14" s="426">
        <f t="shared" si="23"/>
        <v>0</v>
      </c>
      <c r="AI14" s="426">
        <f t="shared" si="24"/>
        <v>0</v>
      </c>
      <c r="AJ14" s="426">
        <f t="shared" si="25"/>
        <v>0</v>
      </c>
      <c r="AK14" s="426">
        <f t="shared" si="26"/>
        <v>0</v>
      </c>
      <c r="AL14" s="426">
        <f t="shared" si="27"/>
        <v>0</v>
      </c>
      <c r="AM14" s="426">
        <f t="shared" si="28"/>
        <v>0</v>
      </c>
      <c r="AN14" s="426">
        <f t="shared" si="29"/>
        <v>0</v>
      </c>
      <c r="AO14" s="426">
        <f t="shared" si="30"/>
        <v>0</v>
      </c>
      <c r="AP14" s="426">
        <f t="shared" si="31"/>
        <v>0</v>
      </c>
      <c r="AQ14" s="426">
        <f t="shared" si="32"/>
        <v>0</v>
      </c>
      <c r="AR14" s="426">
        <f t="shared" si="33"/>
        <v>0</v>
      </c>
      <c r="AS14" s="426">
        <f t="shared" si="34"/>
        <v>0</v>
      </c>
      <c r="AT14" s="426">
        <f t="shared" si="35"/>
        <v>0</v>
      </c>
      <c r="AU14" s="426">
        <f t="shared" si="36"/>
        <v>0</v>
      </c>
      <c r="AV14" s="426">
        <f t="shared" si="37"/>
        <v>0</v>
      </c>
      <c r="AW14" s="426">
        <f t="shared" si="38"/>
        <v>0</v>
      </c>
    </row>
    <row r="15" spans="1:49" s="421" customFormat="1" ht="12" customHeight="1">
      <c r="A15" s="73">
        <f t="array" ref="A15">IF(C15&lt;&gt;0,SUM(($C$11:C15&lt;&gt;0)*1),"")</f>
        <v>5</v>
      </c>
      <c r="B15" s="422">
        <v>41918</v>
      </c>
      <c r="C15" s="316" t="s">
        <v>8</v>
      </c>
      <c r="D15" s="316">
        <v>41918</v>
      </c>
      <c r="E15" s="423" t="s">
        <v>21</v>
      </c>
      <c r="F15" s="75">
        <v>25000</v>
      </c>
      <c r="G15" s="425" t="s">
        <v>348</v>
      </c>
      <c r="H15" s="425" t="s">
        <v>34</v>
      </c>
      <c r="I15" s="73">
        <f t="shared" si="0"/>
        <v>5</v>
      </c>
      <c r="J15" s="426">
        <f t="shared" si="1"/>
        <v>0</v>
      </c>
      <c r="K15" s="426">
        <f t="shared" si="2"/>
        <v>0</v>
      </c>
      <c r="L15" s="426">
        <f t="shared" si="3"/>
        <v>0</v>
      </c>
      <c r="M15" s="426">
        <f t="shared" si="4"/>
        <v>25000</v>
      </c>
      <c r="N15" s="426">
        <f t="shared" si="5"/>
        <v>0</v>
      </c>
      <c r="O15" s="426">
        <f t="shared" si="6"/>
        <v>0</v>
      </c>
      <c r="P15" s="426">
        <f t="shared" si="7"/>
        <v>0</v>
      </c>
      <c r="Q15" s="426">
        <f t="shared" si="8"/>
        <v>0</v>
      </c>
      <c r="R15" s="426">
        <f t="shared" si="39"/>
        <v>0</v>
      </c>
      <c r="S15" s="426">
        <f t="shared" si="40"/>
        <v>0</v>
      </c>
      <c r="T15" s="426">
        <f t="shared" si="9"/>
        <v>0</v>
      </c>
      <c r="U15" s="426">
        <f t="shared" si="10"/>
        <v>0</v>
      </c>
      <c r="V15" s="426">
        <f t="shared" si="11"/>
        <v>0</v>
      </c>
      <c r="W15" s="426">
        <f t="shared" si="12"/>
        <v>0</v>
      </c>
      <c r="X15" s="426">
        <f t="shared" si="13"/>
        <v>0</v>
      </c>
      <c r="Y15" s="426">
        <f t="shared" si="14"/>
        <v>0</v>
      </c>
      <c r="Z15" s="426">
        <f t="shared" si="15"/>
        <v>0</v>
      </c>
      <c r="AA15" s="426">
        <f t="shared" si="16"/>
        <v>0</v>
      </c>
      <c r="AB15" s="426">
        <f t="shared" si="17"/>
        <v>0</v>
      </c>
      <c r="AC15" s="426">
        <f t="shared" si="18"/>
        <v>0</v>
      </c>
      <c r="AD15" s="426">
        <f t="shared" si="19"/>
        <v>0</v>
      </c>
      <c r="AE15" s="426">
        <f t="shared" si="20"/>
        <v>0</v>
      </c>
      <c r="AF15" s="426">
        <f t="shared" si="21"/>
        <v>0</v>
      </c>
      <c r="AG15" s="426">
        <f t="shared" si="22"/>
        <v>0</v>
      </c>
      <c r="AH15" s="426">
        <f t="shared" si="23"/>
        <v>0</v>
      </c>
      <c r="AI15" s="426">
        <f t="shared" si="24"/>
        <v>0</v>
      </c>
      <c r="AJ15" s="426">
        <f t="shared" si="25"/>
        <v>0</v>
      </c>
      <c r="AK15" s="426">
        <f t="shared" si="26"/>
        <v>0</v>
      </c>
      <c r="AL15" s="426">
        <f t="shared" si="27"/>
        <v>0</v>
      </c>
      <c r="AM15" s="426">
        <f t="shared" si="28"/>
        <v>0</v>
      </c>
      <c r="AN15" s="426">
        <f t="shared" si="29"/>
        <v>0</v>
      </c>
      <c r="AO15" s="426">
        <f t="shared" si="30"/>
        <v>0</v>
      </c>
      <c r="AP15" s="426">
        <f t="shared" si="31"/>
        <v>0</v>
      </c>
      <c r="AQ15" s="426">
        <f t="shared" si="32"/>
        <v>0</v>
      </c>
      <c r="AR15" s="426">
        <f t="shared" si="33"/>
        <v>0</v>
      </c>
      <c r="AS15" s="426">
        <f t="shared" si="34"/>
        <v>0</v>
      </c>
      <c r="AT15" s="426">
        <f t="shared" si="35"/>
        <v>0</v>
      </c>
      <c r="AU15" s="426">
        <f t="shared" si="36"/>
        <v>0</v>
      </c>
      <c r="AV15" s="426">
        <f t="shared" si="37"/>
        <v>0</v>
      </c>
      <c r="AW15" s="426">
        <f t="shared" si="38"/>
        <v>0</v>
      </c>
    </row>
    <row r="16" spans="1:49" s="421" customFormat="1" ht="12" customHeight="1">
      <c r="A16" s="73">
        <f t="array" ref="A16">IF(C16&lt;&gt;0,SUM(($C$11:C16&lt;&gt;0)*1),"")</f>
        <v>6</v>
      </c>
      <c r="B16" s="422">
        <v>41918</v>
      </c>
      <c r="C16" s="316" t="s">
        <v>8</v>
      </c>
      <c r="D16" s="316">
        <v>41918</v>
      </c>
      <c r="E16" s="423" t="s">
        <v>335</v>
      </c>
      <c r="F16" s="75">
        <v>2500</v>
      </c>
      <c r="G16" s="425" t="s">
        <v>10</v>
      </c>
      <c r="H16" s="425" t="s">
        <v>34</v>
      </c>
      <c r="I16" s="73">
        <f t="shared" si="0"/>
        <v>6</v>
      </c>
      <c r="J16" s="426">
        <f t="shared" si="1"/>
        <v>0</v>
      </c>
      <c r="K16" s="426">
        <f t="shared" si="2"/>
        <v>0</v>
      </c>
      <c r="L16" s="426">
        <f t="shared" si="3"/>
        <v>0</v>
      </c>
      <c r="M16" s="426">
        <f t="shared" si="4"/>
        <v>2500</v>
      </c>
      <c r="N16" s="426">
        <f t="shared" si="5"/>
        <v>2500</v>
      </c>
      <c r="O16" s="426">
        <f t="shared" si="6"/>
        <v>0</v>
      </c>
      <c r="P16" s="426">
        <f t="shared" si="7"/>
        <v>0</v>
      </c>
      <c r="Q16" s="426">
        <f t="shared" si="8"/>
        <v>0</v>
      </c>
      <c r="R16" s="426">
        <f t="shared" si="39"/>
        <v>0</v>
      </c>
      <c r="S16" s="426">
        <f t="shared" si="40"/>
        <v>0</v>
      </c>
      <c r="T16" s="426">
        <f t="shared" si="9"/>
        <v>0</v>
      </c>
      <c r="U16" s="426">
        <f t="shared" si="10"/>
        <v>0</v>
      </c>
      <c r="V16" s="426">
        <f t="shared" si="11"/>
        <v>0</v>
      </c>
      <c r="W16" s="426">
        <f t="shared" si="12"/>
        <v>0</v>
      </c>
      <c r="X16" s="426">
        <f t="shared" si="13"/>
        <v>0</v>
      </c>
      <c r="Y16" s="426">
        <f t="shared" si="14"/>
        <v>0</v>
      </c>
      <c r="Z16" s="426">
        <f t="shared" si="15"/>
        <v>0</v>
      </c>
      <c r="AA16" s="426">
        <f t="shared" si="16"/>
        <v>0</v>
      </c>
      <c r="AB16" s="426">
        <f t="shared" si="17"/>
        <v>0</v>
      </c>
      <c r="AC16" s="426">
        <f t="shared" si="18"/>
        <v>0</v>
      </c>
      <c r="AD16" s="426">
        <f t="shared" si="19"/>
        <v>0</v>
      </c>
      <c r="AE16" s="426">
        <f t="shared" si="20"/>
        <v>0</v>
      </c>
      <c r="AF16" s="426">
        <f t="shared" si="21"/>
        <v>0</v>
      </c>
      <c r="AG16" s="426">
        <f t="shared" si="22"/>
        <v>0</v>
      </c>
      <c r="AH16" s="426">
        <f t="shared" si="23"/>
        <v>0</v>
      </c>
      <c r="AI16" s="426">
        <f t="shared" si="24"/>
        <v>0</v>
      </c>
      <c r="AJ16" s="426">
        <f t="shared" si="25"/>
        <v>0</v>
      </c>
      <c r="AK16" s="426">
        <f t="shared" si="26"/>
        <v>0</v>
      </c>
      <c r="AL16" s="426">
        <f t="shared" si="27"/>
        <v>0</v>
      </c>
      <c r="AM16" s="426">
        <f t="shared" si="28"/>
        <v>0</v>
      </c>
      <c r="AN16" s="426">
        <f t="shared" si="29"/>
        <v>0</v>
      </c>
      <c r="AO16" s="426">
        <f t="shared" si="30"/>
        <v>0</v>
      </c>
      <c r="AP16" s="426">
        <f t="shared" si="31"/>
        <v>0</v>
      </c>
      <c r="AQ16" s="426">
        <f t="shared" si="32"/>
        <v>0</v>
      </c>
      <c r="AR16" s="426">
        <f t="shared" si="33"/>
        <v>0</v>
      </c>
      <c r="AS16" s="426">
        <f t="shared" si="34"/>
        <v>0</v>
      </c>
      <c r="AT16" s="426">
        <f t="shared" si="35"/>
        <v>0</v>
      </c>
      <c r="AU16" s="426">
        <f t="shared" si="36"/>
        <v>0</v>
      </c>
      <c r="AV16" s="426">
        <f t="shared" si="37"/>
        <v>0</v>
      </c>
      <c r="AW16" s="426">
        <f t="shared" si="38"/>
        <v>0</v>
      </c>
    </row>
    <row r="17" spans="1:49" s="421" customFormat="1" ht="12" customHeight="1">
      <c r="A17" s="73">
        <f t="array" ref="A17">IF(C17&lt;&gt;0,SUM(($C$11:C17&lt;&gt;0)*1),"")</f>
        <v>7</v>
      </c>
      <c r="B17" s="422">
        <v>41927</v>
      </c>
      <c r="C17" s="316" t="s">
        <v>378</v>
      </c>
      <c r="D17" s="316">
        <v>41927</v>
      </c>
      <c r="E17" s="423" t="s">
        <v>417</v>
      </c>
      <c r="F17" s="75">
        <v>28000005</v>
      </c>
      <c r="G17" s="425" t="s">
        <v>248</v>
      </c>
      <c r="H17" s="425" t="s">
        <v>9</v>
      </c>
      <c r="I17" s="73">
        <f t="shared" si="0"/>
        <v>7</v>
      </c>
      <c r="J17" s="426">
        <f t="shared" si="1"/>
        <v>0</v>
      </c>
      <c r="K17" s="426">
        <f t="shared" si="2"/>
        <v>0</v>
      </c>
      <c r="L17" s="426">
        <f t="shared" si="3"/>
        <v>0</v>
      </c>
      <c r="M17" s="426">
        <f t="shared" si="4"/>
        <v>0</v>
      </c>
      <c r="N17" s="426">
        <f t="shared" si="5"/>
        <v>0</v>
      </c>
      <c r="O17" s="426">
        <f t="shared" si="6"/>
        <v>0</v>
      </c>
      <c r="P17" s="426">
        <f t="shared" si="7"/>
        <v>0</v>
      </c>
      <c r="Q17" s="426">
        <f t="shared" si="8"/>
        <v>0</v>
      </c>
      <c r="R17" s="426">
        <f t="shared" si="39"/>
        <v>28000005</v>
      </c>
      <c r="S17" s="426">
        <f t="shared" si="40"/>
        <v>0</v>
      </c>
      <c r="T17" s="426">
        <f t="shared" si="9"/>
        <v>0</v>
      </c>
      <c r="U17" s="426">
        <f t="shared" si="10"/>
        <v>28000005</v>
      </c>
      <c r="V17" s="426">
        <f t="shared" si="11"/>
        <v>0</v>
      </c>
      <c r="W17" s="426">
        <f t="shared" si="12"/>
        <v>0</v>
      </c>
      <c r="X17" s="426">
        <f t="shared" si="13"/>
        <v>0</v>
      </c>
      <c r="Y17" s="426">
        <f t="shared" si="14"/>
        <v>0</v>
      </c>
      <c r="Z17" s="426">
        <f t="shared" si="15"/>
        <v>0</v>
      </c>
      <c r="AA17" s="426">
        <f t="shared" si="16"/>
        <v>0</v>
      </c>
      <c r="AB17" s="426">
        <f t="shared" si="17"/>
        <v>0</v>
      </c>
      <c r="AC17" s="426">
        <f t="shared" si="18"/>
        <v>0</v>
      </c>
      <c r="AD17" s="426">
        <f t="shared" si="19"/>
        <v>0</v>
      </c>
      <c r="AE17" s="426">
        <f t="shared" si="20"/>
        <v>0</v>
      </c>
      <c r="AF17" s="426">
        <f t="shared" si="21"/>
        <v>0</v>
      </c>
      <c r="AG17" s="426">
        <f t="shared" si="22"/>
        <v>0</v>
      </c>
      <c r="AH17" s="426">
        <f t="shared" si="23"/>
        <v>0</v>
      </c>
      <c r="AI17" s="426">
        <f t="shared" si="24"/>
        <v>0</v>
      </c>
      <c r="AJ17" s="426">
        <f t="shared" si="25"/>
        <v>0</v>
      </c>
      <c r="AK17" s="426">
        <f t="shared" si="26"/>
        <v>0</v>
      </c>
      <c r="AL17" s="426">
        <f t="shared" si="27"/>
        <v>0</v>
      </c>
      <c r="AM17" s="426">
        <f t="shared" si="28"/>
        <v>0</v>
      </c>
      <c r="AN17" s="426">
        <f t="shared" si="29"/>
        <v>0</v>
      </c>
      <c r="AO17" s="426">
        <f t="shared" si="30"/>
        <v>0</v>
      </c>
      <c r="AP17" s="426">
        <f t="shared" si="31"/>
        <v>0</v>
      </c>
      <c r="AQ17" s="426">
        <f t="shared" si="32"/>
        <v>0</v>
      </c>
      <c r="AR17" s="426">
        <f t="shared" si="33"/>
        <v>0</v>
      </c>
      <c r="AS17" s="426">
        <f t="shared" si="34"/>
        <v>0</v>
      </c>
      <c r="AT17" s="426">
        <f t="shared" si="35"/>
        <v>0</v>
      </c>
      <c r="AU17" s="426">
        <f t="shared" si="36"/>
        <v>0</v>
      </c>
      <c r="AV17" s="426">
        <f t="shared" si="37"/>
        <v>0</v>
      </c>
      <c r="AW17" s="426">
        <f t="shared" si="38"/>
        <v>0</v>
      </c>
    </row>
    <row r="18" spans="1:49" s="421" customFormat="1" ht="12" customHeight="1">
      <c r="A18" s="73">
        <f t="array" ref="A18">IF(C18&lt;&gt;0,SUM(($C$11:C18&lt;&gt;0)*1),"")</f>
        <v>8</v>
      </c>
      <c r="B18" s="422">
        <v>41927</v>
      </c>
      <c r="C18" s="316" t="s">
        <v>378</v>
      </c>
      <c r="D18" s="316">
        <v>41927</v>
      </c>
      <c r="E18" s="423" t="s">
        <v>418</v>
      </c>
      <c r="F18" s="75">
        <v>2800000</v>
      </c>
      <c r="G18" s="425" t="s">
        <v>10</v>
      </c>
      <c r="H18" s="425" t="s">
        <v>9</v>
      </c>
      <c r="I18" s="73">
        <f t="shared" si="0"/>
        <v>8</v>
      </c>
      <c r="J18" s="426">
        <f t="shared" si="1"/>
        <v>0</v>
      </c>
      <c r="K18" s="426">
        <f t="shared" si="2"/>
        <v>0</v>
      </c>
      <c r="L18" s="426">
        <f t="shared" si="3"/>
        <v>0</v>
      </c>
      <c r="M18" s="426">
        <f t="shared" si="4"/>
        <v>0</v>
      </c>
      <c r="N18" s="426">
        <f t="shared" si="5"/>
        <v>2800000</v>
      </c>
      <c r="O18" s="426">
        <f t="shared" si="6"/>
        <v>0</v>
      </c>
      <c r="P18" s="426">
        <f t="shared" si="7"/>
        <v>0</v>
      </c>
      <c r="Q18" s="426">
        <f t="shared" si="8"/>
        <v>0</v>
      </c>
      <c r="R18" s="426">
        <f t="shared" si="39"/>
        <v>0</v>
      </c>
      <c r="S18" s="426">
        <f t="shared" si="40"/>
        <v>0</v>
      </c>
      <c r="T18" s="426">
        <f t="shared" si="9"/>
        <v>0</v>
      </c>
      <c r="U18" s="426">
        <f t="shared" si="10"/>
        <v>2800000</v>
      </c>
      <c r="V18" s="426">
        <f t="shared" si="11"/>
        <v>0</v>
      </c>
      <c r="W18" s="426">
        <f t="shared" si="12"/>
        <v>0</v>
      </c>
      <c r="X18" s="426">
        <f t="shared" si="13"/>
        <v>0</v>
      </c>
      <c r="Y18" s="426">
        <f t="shared" si="14"/>
        <v>0</v>
      </c>
      <c r="Z18" s="426">
        <f t="shared" si="15"/>
        <v>0</v>
      </c>
      <c r="AA18" s="426">
        <f t="shared" si="16"/>
        <v>0</v>
      </c>
      <c r="AB18" s="426">
        <f t="shared" si="17"/>
        <v>0</v>
      </c>
      <c r="AC18" s="426">
        <f t="shared" si="18"/>
        <v>0</v>
      </c>
      <c r="AD18" s="426">
        <f t="shared" si="19"/>
        <v>0</v>
      </c>
      <c r="AE18" s="426">
        <f t="shared" si="20"/>
        <v>0</v>
      </c>
      <c r="AF18" s="426">
        <f t="shared" si="21"/>
        <v>0</v>
      </c>
      <c r="AG18" s="426">
        <f t="shared" si="22"/>
        <v>0</v>
      </c>
      <c r="AH18" s="426">
        <f t="shared" si="23"/>
        <v>0</v>
      </c>
      <c r="AI18" s="426">
        <f t="shared" si="24"/>
        <v>0</v>
      </c>
      <c r="AJ18" s="426">
        <f t="shared" si="25"/>
        <v>0</v>
      </c>
      <c r="AK18" s="426">
        <f t="shared" si="26"/>
        <v>0</v>
      </c>
      <c r="AL18" s="426">
        <f t="shared" si="27"/>
        <v>0</v>
      </c>
      <c r="AM18" s="426">
        <f t="shared" si="28"/>
        <v>0</v>
      </c>
      <c r="AN18" s="426">
        <f t="shared" si="29"/>
        <v>0</v>
      </c>
      <c r="AO18" s="426">
        <f t="shared" si="30"/>
        <v>0</v>
      </c>
      <c r="AP18" s="426">
        <f t="shared" si="31"/>
        <v>0</v>
      </c>
      <c r="AQ18" s="426">
        <f t="shared" si="32"/>
        <v>0</v>
      </c>
      <c r="AR18" s="426">
        <f t="shared" si="33"/>
        <v>0</v>
      </c>
      <c r="AS18" s="426">
        <f t="shared" si="34"/>
        <v>0</v>
      </c>
      <c r="AT18" s="426">
        <f t="shared" si="35"/>
        <v>0</v>
      </c>
      <c r="AU18" s="426">
        <f t="shared" si="36"/>
        <v>0</v>
      </c>
      <c r="AV18" s="426">
        <f t="shared" si="37"/>
        <v>0</v>
      </c>
      <c r="AW18" s="426">
        <f t="shared" si="38"/>
        <v>0</v>
      </c>
    </row>
    <row r="19" spans="1:49" s="421" customFormat="1" ht="12" customHeight="1">
      <c r="A19" s="73">
        <f t="array" ref="A19">IF(C19&lt;&gt;0,SUM(($C$11:C19&lt;&gt;0)*1),"")</f>
        <v>9</v>
      </c>
      <c r="B19" s="422">
        <v>41928</v>
      </c>
      <c r="C19" s="316" t="s">
        <v>8</v>
      </c>
      <c r="D19" s="316">
        <v>41928</v>
      </c>
      <c r="E19" s="423" t="s">
        <v>344</v>
      </c>
      <c r="F19" s="75">
        <v>323824160</v>
      </c>
      <c r="G19" s="425" t="s">
        <v>9</v>
      </c>
      <c r="H19" s="425" t="s">
        <v>34</v>
      </c>
      <c r="I19" s="73">
        <f t="shared" si="0"/>
        <v>9</v>
      </c>
      <c r="J19" s="426">
        <f t="shared" si="1"/>
        <v>0</v>
      </c>
      <c r="K19" s="426">
        <f t="shared" si="2"/>
        <v>0</v>
      </c>
      <c r="L19" s="426">
        <f t="shared" si="3"/>
        <v>0</v>
      </c>
      <c r="M19" s="426">
        <f t="shared" si="4"/>
        <v>323824160</v>
      </c>
      <c r="N19" s="426">
        <f t="shared" si="5"/>
        <v>0</v>
      </c>
      <c r="O19" s="426">
        <f t="shared" si="6"/>
        <v>0</v>
      </c>
      <c r="P19" s="426">
        <f t="shared" si="7"/>
        <v>0</v>
      </c>
      <c r="Q19" s="426">
        <f t="shared" si="8"/>
        <v>0</v>
      </c>
      <c r="R19" s="426">
        <f t="shared" si="39"/>
        <v>0</v>
      </c>
      <c r="S19" s="426">
        <f t="shared" si="40"/>
        <v>0</v>
      </c>
      <c r="T19" s="426">
        <f t="shared" si="9"/>
        <v>323824160</v>
      </c>
      <c r="U19" s="426">
        <f t="shared" si="10"/>
        <v>0</v>
      </c>
      <c r="V19" s="426">
        <f t="shared" si="11"/>
        <v>0</v>
      </c>
      <c r="W19" s="426">
        <f t="shared" si="12"/>
        <v>0</v>
      </c>
      <c r="X19" s="426">
        <f t="shared" si="13"/>
        <v>0</v>
      </c>
      <c r="Y19" s="426">
        <f t="shared" si="14"/>
        <v>0</v>
      </c>
      <c r="Z19" s="426">
        <f t="shared" si="15"/>
        <v>0</v>
      </c>
      <c r="AA19" s="426">
        <f t="shared" si="16"/>
        <v>0</v>
      </c>
      <c r="AB19" s="426">
        <f t="shared" si="17"/>
        <v>0</v>
      </c>
      <c r="AC19" s="426">
        <f t="shared" si="18"/>
        <v>0</v>
      </c>
      <c r="AD19" s="426">
        <f t="shared" si="19"/>
        <v>0</v>
      </c>
      <c r="AE19" s="426">
        <f t="shared" si="20"/>
        <v>0</v>
      </c>
      <c r="AF19" s="426">
        <f t="shared" si="21"/>
        <v>0</v>
      </c>
      <c r="AG19" s="426">
        <f t="shared" si="22"/>
        <v>0</v>
      </c>
      <c r="AH19" s="426">
        <f t="shared" si="23"/>
        <v>0</v>
      </c>
      <c r="AI19" s="426">
        <f t="shared" si="24"/>
        <v>0</v>
      </c>
      <c r="AJ19" s="426">
        <f t="shared" si="25"/>
        <v>0</v>
      </c>
      <c r="AK19" s="426">
        <f t="shared" si="26"/>
        <v>0</v>
      </c>
      <c r="AL19" s="426">
        <f t="shared" si="27"/>
        <v>0</v>
      </c>
      <c r="AM19" s="426">
        <f t="shared" si="28"/>
        <v>0</v>
      </c>
      <c r="AN19" s="426">
        <f t="shared" si="29"/>
        <v>0</v>
      </c>
      <c r="AO19" s="426">
        <f t="shared" si="30"/>
        <v>0</v>
      </c>
      <c r="AP19" s="426">
        <f t="shared" si="31"/>
        <v>0</v>
      </c>
      <c r="AQ19" s="426">
        <f t="shared" si="32"/>
        <v>0</v>
      </c>
      <c r="AR19" s="426">
        <f t="shared" si="33"/>
        <v>0</v>
      </c>
      <c r="AS19" s="426">
        <f t="shared" si="34"/>
        <v>0</v>
      </c>
      <c r="AT19" s="426">
        <f t="shared" si="35"/>
        <v>0</v>
      </c>
      <c r="AU19" s="426">
        <f t="shared" si="36"/>
        <v>0</v>
      </c>
      <c r="AV19" s="426">
        <f t="shared" si="37"/>
        <v>0</v>
      </c>
      <c r="AW19" s="426">
        <f t="shared" si="38"/>
        <v>0</v>
      </c>
    </row>
    <row r="20" spans="1:49" s="421" customFormat="1" ht="12" customHeight="1">
      <c r="A20" s="73">
        <f t="array" ref="A20">IF(C20&lt;&gt;0,SUM(($C$11:C20&lt;&gt;0)*1),"")</f>
        <v>10</v>
      </c>
      <c r="B20" s="422">
        <v>41928</v>
      </c>
      <c r="C20" s="316" t="s">
        <v>8</v>
      </c>
      <c r="D20" s="316">
        <v>41928</v>
      </c>
      <c r="E20" s="423" t="s">
        <v>21</v>
      </c>
      <c r="F20" s="75">
        <v>97147</v>
      </c>
      <c r="G20" s="425" t="s">
        <v>348</v>
      </c>
      <c r="H20" s="425" t="s">
        <v>34</v>
      </c>
      <c r="I20" s="73">
        <f t="shared" si="0"/>
        <v>10</v>
      </c>
      <c r="J20" s="426">
        <f t="shared" si="1"/>
        <v>0</v>
      </c>
      <c r="K20" s="426">
        <f t="shared" si="2"/>
        <v>0</v>
      </c>
      <c r="L20" s="426">
        <f t="shared" si="3"/>
        <v>0</v>
      </c>
      <c r="M20" s="426">
        <f t="shared" si="4"/>
        <v>97147</v>
      </c>
      <c r="N20" s="426">
        <f t="shared" si="5"/>
        <v>0</v>
      </c>
      <c r="O20" s="426">
        <f t="shared" si="6"/>
        <v>0</v>
      </c>
      <c r="P20" s="426">
        <f t="shared" si="7"/>
        <v>0</v>
      </c>
      <c r="Q20" s="426">
        <f t="shared" si="8"/>
        <v>0</v>
      </c>
      <c r="R20" s="426">
        <f t="shared" si="39"/>
        <v>0</v>
      </c>
      <c r="S20" s="426">
        <f t="shared" si="40"/>
        <v>0</v>
      </c>
      <c r="T20" s="426">
        <f t="shared" si="9"/>
        <v>0</v>
      </c>
      <c r="U20" s="426">
        <f t="shared" si="10"/>
        <v>0</v>
      </c>
      <c r="V20" s="426">
        <f t="shared" si="11"/>
        <v>0</v>
      </c>
      <c r="W20" s="426">
        <f t="shared" si="12"/>
        <v>0</v>
      </c>
      <c r="X20" s="426">
        <f t="shared" si="13"/>
        <v>0</v>
      </c>
      <c r="Y20" s="426">
        <f t="shared" si="14"/>
        <v>0</v>
      </c>
      <c r="Z20" s="426">
        <f t="shared" si="15"/>
        <v>0</v>
      </c>
      <c r="AA20" s="426">
        <f t="shared" si="16"/>
        <v>0</v>
      </c>
      <c r="AB20" s="426">
        <f t="shared" si="17"/>
        <v>0</v>
      </c>
      <c r="AC20" s="426">
        <f t="shared" si="18"/>
        <v>0</v>
      </c>
      <c r="AD20" s="426">
        <f t="shared" si="19"/>
        <v>0</v>
      </c>
      <c r="AE20" s="426">
        <f t="shared" si="20"/>
        <v>0</v>
      </c>
      <c r="AF20" s="426">
        <f t="shared" si="21"/>
        <v>0</v>
      </c>
      <c r="AG20" s="426">
        <f t="shared" si="22"/>
        <v>0</v>
      </c>
      <c r="AH20" s="426">
        <f t="shared" si="23"/>
        <v>0</v>
      </c>
      <c r="AI20" s="426">
        <f t="shared" si="24"/>
        <v>0</v>
      </c>
      <c r="AJ20" s="426">
        <f t="shared" si="25"/>
        <v>0</v>
      </c>
      <c r="AK20" s="426">
        <f t="shared" si="26"/>
        <v>0</v>
      </c>
      <c r="AL20" s="426">
        <f t="shared" si="27"/>
        <v>0</v>
      </c>
      <c r="AM20" s="426">
        <f t="shared" si="28"/>
        <v>0</v>
      </c>
      <c r="AN20" s="426">
        <f t="shared" si="29"/>
        <v>0</v>
      </c>
      <c r="AO20" s="426">
        <f t="shared" si="30"/>
        <v>0</v>
      </c>
      <c r="AP20" s="426">
        <f t="shared" si="31"/>
        <v>0</v>
      </c>
      <c r="AQ20" s="426">
        <f t="shared" si="32"/>
        <v>0</v>
      </c>
      <c r="AR20" s="426">
        <f t="shared" si="33"/>
        <v>0</v>
      </c>
      <c r="AS20" s="426">
        <f t="shared" si="34"/>
        <v>0</v>
      </c>
      <c r="AT20" s="426">
        <f t="shared" si="35"/>
        <v>0</v>
      </c>
      <c r="AU20" s="426">
        <f t="shared" si="36"/>
        <v>0</v>
      </c>
      <c r="AV20" s="426">
        <f t="shared" si="37"/>
        <v>0</v>
      </c>
      <c r="AW20" s="426">
        <f t="shared" si="38"/>
        <v>0</v>
      </c>
    </row>
    <row r="21" spans="1:49" s="421" customFormat="1" ht="12" customHeight="1">
      <c r="A21" s="73">
        <f t="array" ref="A21">IF(C21&lt;&gt;0,SUM(($C$11:C21&lt;&gt;0)*1),"")</f>
        <v>11</v>
      </c>
      <c r="B21" s="462">
        <v>41928</v>
      </c>
      <c r="C21" s="463" t="s">
        <v>8</v>
      </c>
      <c r="D21" s="463">
        <v>41928</v>
      </c>
      <c r="E21" s="464" t="s">
        <v>335</v>
      </c>
      <c r="F21" s="465">
        <v>9715</v>
      </c>
      <c r="G21" s="466" t="s">
        <v>10</v>
      </c>
      <c r="H21" s="466" t="s">
        <v>34</v>
      </c>
      <c r="I21" s="73">
        <f t="shared" si="0"/>
        <v>11</v>
      </c>
      <c r="J21" s="426">
        <f t="shared" si="1"/>
        <v>0</v>
      </c>
      <c r="K21" s="426">
        <f t="shared" si="2"/>
        <v>0</v>
      </c>
      <c r="L21" s="426">
        <f t="shared" si="3"/>
        <v>0</v>
      </c>
      <c r="M21" s="426">
        <f t="shared" si="4"/>
        <v>9715</v>
      </c>
      <c r="N21" s="426">
        <f t="shared" si="5"/>
        <v>9715</v>
      </c>
      <c r="O21" s="426">
        <f t="shared" si="6"/>
        <v>0</v>
      </c>
      <c r="P21" s="426">
        <f t="shared" si="7"/>
        <v>0</v>
      </c>
      <c r="Q21" s="426">
        <f t="shared" si="8"/>
        <v>0</v>
      </c>
      <c r="R21" s="426">
        <f t="shared" si="39"/>
        <v>0</v>
      </c>
      <c r="S21" s="426">
        <f t="shared" si="40"/>
        <v>0</v>
      </c>
      <c r="T21" s="426">
        <f t="shared" si="9"/>
        <v>0</v>
      </c>
      <c r="U21" s="426">
        <f t="shared" si="10"/>
        <v>0</v>
      </c>
      <c r="V21" s="426">
        <f t="shared" si="11"/>
        <v>0</v>
      </c>
      <c r="W21" s="426">
        <f t="shared" si="12"/>
        <v>0</v>
      </c>
      <c r="X21" s="426">
        <f t="shared" si="13"/>
        <v>0</v>
      </c>
      <c r="Y21" s="426">
        <f t="shared" si="14"/>
        <v>0</v>
      </c>
      <c r="Z21" s="426">
        <f t="shared" si="15"/>
        <v>0</v>
      </c>
      <c r="AA21" s="426">
        <f t="shared" si="16"/>
        <v>0</v>
      </c>
      <c r="AB21" s="426">
        <f t="shared" si="17"/>
        <v>0</v>
      </c>
      <c r="AC21" s="426">
        <f t="shared" si="18"/>
        <v>0</v>
      </c>
      <c r="AD21" s="426">
        <f t="shared" si="19"/>
        <v>0</v>
      </c>
      <c r="AE21" s="426">
        <f t="shared" si="20"/>
        <v>0</v>
      </c>
      <c r="AF21" s="426">
        <f t="shared" si="21"/>
        <v>0</v>
      </c>
      <c r="AG21" s="426">
        <f t="shared" si="22"/>
        <v>0</v>
      </c>
      <c r="AH21" s="426">
        <f t="shared" si="23"/>
        <v>0</v>
      </c>
      <c r="AI21" s="426">
        <f t="shared" si="24"/>
        <v>0</v>
      </c>
      <c r="AJ21" s="426">
        <f t="shared" si="25"/>
        <v>0</v>
      </c>
      <c r="AK21" s="426">
        <f t="shared" si="26"/>
        <v>0</v>
      </c>
      <c r="AL21" s="426">
        <f t="shared" si="27"/>
        <v>0</v>
      </c>
      <c r="AM21" s="426">
        <f t="shared" si="28"/>
        <v>0</v>
      </c>
      <c r="AN21" s="426">
        <f t="shared" si="29"/>
        <v>0</v>
      </c>
      <c r="AO21" s="426">
        <f t="shared" si="30"/>
        <v>0</v>
      </c>
      <c r="AP21" s="426">
        <f t="shared" si="31"/>
        <v>0</v>
      </c>
      <c r="AQ21" s="426">
        <f t="shared" si="32"/>
        <v>0</v>
      </c>
      <c r="AR21" s="426">
        <f t="shared" si="33"/>
        <v>0</v>
      </c>
      <c r="AS21" s="426">
        <f t="shared" si="34"/>
        <v>0</v>
      </c>
      <c r="AT21" s="426">
        <f t="shared" si="35"/>
        <v>0</v>
      </c>
      <c r="AU21" s="426">
        <f t="shared" si="36"/>
        <v>0</v>
      </c>
      <c r="AV21" s="426">
        <f t="shared" si="37"/>
        <v>0</v>
      </c>
      <c r="AW21" s="426">
        <f t="shared" si="38"/>
        <v>0</v>
      </c>
    </row>
    <row r="22" spans="1:49" s="421" customFormat="1" ht="12" customHeight="1">
      <c r="A22" s="73">
        <f t="array" ref="A22">IF(C22&lt;&gt;0,SUM(($C$11:C22&lt;&gt;0)*1),"")</f>
        <v>12</v>
      </c>
      <c r="B22" s="422">
        <v>41929</v>
      </c>
      <c r="C22" s="316" t="s">
        <v>11</v>
      </c>
      <c r="D22" s="316">
        <v>41929</v>
      </c>
      <c r="E22" s="423" t="s">
        <v>333</v>
      </c>
      <c r="F22" s="75">
        <v>25000000</v>
      </c>
      <c r="G22" s="425" t="s">
        <v>34</v>
      </c>
      <c r="H22" s="425" t="s">
        <v>23</v>
      </c>
      <c r="I22" s="73">
        <f t="shared" si="0"/>
        <v>12</v>
      </c>
      <c r="J22" s="426">
        <f t="shared" si="1"/>
        <v>0</v>
      </c>
      <c r="K22" s="426">
        <f t="shared" si="2"/>
        <v>0</v>
      </c>
      <c r="L22" s="426">
        <f t="shared" si="3"/>
        <v>25000000</v>
      </c>
      <c r="M22" s="426">
        <f t="shared" si="4"/>
        <v>0</v>
      </c>
      <c r="N22" s="426">
        <f t="shared" si="5"/>
        <v>0</v>
      </c>
      <c r="O22" s="426">
        <f t="shared" si="6"/>
        <v>0</v>
      </c>
      <c r="P22" s="426">
        <f t="shared" si="7"/>
        <v>0</v>
      </c>
      <c r="Q22" s="426">
        <f t="shared" si="8"/>
        <v>0</v>
      </c>
      <c r="R22" s="426">
        <f t="shared" si="39"/>
        <v>0</v>
      </c>
      <c r="S22" s="426">
        <f t="shared" si="40"/>
        <v>0</v>
      </c>
      <c r="T22" s="426">
        <f t="shared" si="9"/>
        <v>0</v>
      </c>
      <c r="U22" s="426">
        <f t="shared" si="10"/>
        <v>0</v>
      </c>
      <c r="V22" s="426">
        <f t="shared" si="11"/>
        <v>0</v>
      </c>
      <c r="W22" s="426">
        <f t="shared" si="12"/>
        <v>0</v>
      </c>
      <c r="X22" s="426">
        <f t="shared" si="13"/>
        <v>0</v>
      </c>
      <c r="Y22" s="426">
        <f t="shared" si="14"/>
        <v>0</v>
      </c>
      <c r="Z22" s="426">
        <f t="shared" si="15"/>
        <v>0</v>
      </c>
      <c r="AA22" s="426">
        <f t="shared" si="16"/>
        <v>25000000</v>
      </c>
      <c r="AB22" s="426">
        <f t="shared" si="17"/>
        <v>0</v>
      </c>
      <c r="AC22" s="426">
        <f t="shared" si="18"/>
        <v>0</v>
      </c>
      <c r="AD22" s="426">
        <f t="shared" si="19"/>
        <v>0</v>
      </c>
      <c r="AE22" s="426">
        <f t="shared" si="20"/>
        <v>0</v>
      </c>
      <c r="AF22" s="426">
        <f t="shared" si="21"/>
        <v>0</v>
      </c>
      <c r="AG22" s="426">
        <f t="shared" si="22"/>
        <v>0</v>
      </c>
      <c r="AH22" s="426">
        <f t="shared" si="23"/>
        <v>0</v>
      </c>
      <c r="AI22" s="426">
        <f t="shared" si="24"/>
        <v>0</v>
      </c>
      <c r="AJ22" s="426">
        <f t="shared" si="25"/>
        <v>0</v>
      </c>
      <c r="AK22" s="426">
        <f t="shared" si="26"/>
        <v>0</v>
      </c>
      <c r="AL22" s="426">
        <f t="shared" si="27"/>
        <v>0</v>
      </c>
      <c r="AM22" s="426">
        <f t="shared" si="28"/>
        <v>0</v>
      </c>
      <c r="AN22" s="426">
        <f t="shared" si="29"/>
        <v>0</v>
      </c>
      <c r="AO22" s="426">
        <f t="shared" si="30"/>
        <v>0</v>
      </c>
      <c r="AP22" s="426">
        <f t="shared" si="31"/>
        <v>0</v>
      </c>
      <c r="AQ22" s="426">
        <f t="shared" si="32"/>
        <v>0</v>
      </c>
      <c r="AR22" s="426">
        <f t="shared" si="33"/>
        <v>0</v>
      </c>
      <c r="AS22" s="426">
        <f t="shared" si="34"/>
        <v>0</v>
      </c>
      <c r="AT22" s="426">
        <f t="shared" si="35"/>
        <v>0</v>
      </c>
      <c r="AU22" s="426">
        <f t="shared" si="36"/>
        <v>0</v>
      </c>
      <c r="AV22" s="426">
        <f t="shared" si="37"/>
        <v>0</v>
      </c>
      <c r="AW22" s="426">
        <f t="shared" si="38"/>
        <v>0</v>
      </c>
    </row>
    <row r="23" spans="1:49" s="421" customFormat="1" ht="12" customHeight="1">
      <c r="A23" s="73">
        <f t="array" ref="A23">IF(C23&lt;&gt;0,SUM(($C$11:C23&lt;&gt;0)*1),"")</f>
        <v>13</v>
      </c>
      <c r="B23" s="422">
        <v>41929</v>
      </c>
      <c r="C23" s="316" t="s">
        <v>97</v>
      </c>
      <c r="D23" s="316">
        <v>41929</v>
      </c>
      <c r="E23" s="423" t="s">
        <v>337</v>
      </c>
      <c r="F23" s="75">
        <v>25000000</v>
      </c>
      <c r="G23" s="425" t="s">
        <v>23</v>
      </c>
      <c r="H23" s="425" t="s">
        <v>120</v>
      </c>
      <c r="I23" s="73">
        <f t="shared" si="0"/>
        <v>13</v>
      </c>
      <c r="J23" s="426">
        <f t="shared" si="1"/>
        <v>0</v>
      </c>
      <c r="K23" s="426">
        <f t="shared" si="2"/>
        <v>25000000</v>
      </c>
      <c r="L23" s="426">
        <f t="shared" si="3"/>
        <v>0</v>
      </c>
      <c r="M23" s="426">
        <f t="shared" si="4"/>
        <v>0</v>
      </c>
      <c r="N23" s="426">
        <f t="shared" si="5"/>
        <v>0</v>
      </c>
      <c r="O23" s="426">
        <f t="shared" si="6"/>
        <v>0</v>
      </c>
      <c r="P23" s="426">
        <f t="shared" si="7"/>
        <v>0</v>
      </c>
      <c r="Q23" s="426">
        <f t="shared" si="8"/>
        <v>0</v>
      </c>
      <c r="R23" s="426">
        <f t="shared" si="39"/>
        <v>0</v>
      </c>
      <c r="S23" s="426">
        <f t="shared" si="40"/>
        <v>0</v>
      </c>
      <c r="T23" s="426">
        <f t="shared" si="9"/>
        <v>0</v>
      </c>
      <c r="U23" s="426">
        <f t="shared" si="10"/>
        <v>0</v>
      </c>
      <c r="V23" s="426">
        <f t="shared" si="11"/>
        <v>0</v>
      </c>
      <c r="W23" s="426">
        <f t="shared" si="12"/>
        <v>0</v>
      </c>
      <c r="X23" s="426">
        <f t="shared" si="13"/>
        <v>0</v>
      </c>
      <c r="Y23" s="426">
        <f t="shared" si="14"/>
        <v>0</v>
      </c>
      <c r="Z23" s="426">
        <f t="shared" si="15"/>
        <v>25000000</v>
      </c>
      <c r="AA23" s="426">
        <f t="shared" si="16"/>
        <v>0</v>
      </c>
      <c r="AB23" s="426">
        <f t="shared" si="17"/>
        <v>0</v>
      </c>
      <c r="AC23" s="426">
        <f t="shared" si="18"/>
        <v>0</v>
      </c>
      <c r="AD23" s="426">
        <f t="shared" si="19"/>
        <v>0</v>
      </c>
      <c r="AE23" s="426">
        <f t="shared" si="20"/>
        <v>0</v>
      </c>
      <c r="AF23" s="426">
        <f t="shared" si="21"/>
        <v>0</v>
      </c>
      <c r="AG23" s="426">
        <f t="shared" si="22"/>
        <v>0</v>
      </c>
      <c r="AH23" s="426">
        <f t="shared" si="23"/>
        <v>0</v>
      </c>
      <c r="AI23" s="426">
        <f t="shared" si="24"/>
        <v>0</v>
      </c>
      <c r="AJ23" s="426">
        <f t="shared" si="25"/>
        <v>0</v>
      </c>
      <c r="AK23" s="426">
        <f t="shared" si="26"/>
        <v>0</v>
      </c>
      <c r="AL23" s="426">
        <f t="shared" si="27"/>
        <v>0</v>
      </c>
      <c r="AM23" s="426">
        <f t="shared" si="28"/>
        <v>0</v>
      </c>
      <c r="AN23" s="426">
        <f t="shared" si="29"/>
        <v>0</v>
      </c>
      <c r="AO23" s="426">
        <f t="shared" si="30"/>
        <v>0</v>
      </c>
      <c r="AP23" s="426">
        <f t="shared" si="31"/>
        <v>0</v>
      </c>
      <c r="AQ23" s="426">
        <f t="shared" si="32"/>
        <v>0</v>
      </c>
      <c r="AR23" s="426">
        <f t="shared" si="33"/>
        <v>0</v>
      </c>
      <c r="AS23" s="426">
        <f t="shared" si="34"/>
        <v>0</v>
      </c>
      <c r="AT23" s="426">
        <f t="shared" si="35"/>
        <v>0</v>
      </c>
      <c r="AU23" s="426">
        <f t="shared" si="36"/>
        <v>0</v>
      </c>
      <c r="AV23" s="426">
        <f t="shared" si="37"/>
        <v>0</v>
      </c>
      <c r="AW23" s="426">
        <f t="shared" si="38"/>
        <v>0</v>
      </c>
    </row>
    <row r="24" spans="1:49" s="421" customFormat="1" ht="12" customHeight="1">
      <c r="A24" s="73">
        <f t="array" ref="A24">IF(C24&lt;&gt;0,SUM(($C$11:C24&lt;&gt;0)*1),"")</f>
        <v>14</v>
      </c>
      <c r="B24" s="422">
        <v>41932</v>
      </c>
      <c r="C24" s="316" t="s">
        <v>8</v>
      </c>
      <c r="D24" s="316">
        <v>41932</v>
      </c>
      <c r="E24" s="423" t="s">
        <v>77</v>
      </c>
      <c r="F24" s="75">
        <v>8333333</v>
      </c>
      <c r="G24" s="425" t="s">
        <v>248</v>
      </c>
      <c r="H24" s="425" t="s">
        <v>34</v>
      </c>
      <c r="I24" s="73">
        <f t="shared" si="0"/>
        <v>14</v>
      </c>
      <c r="J24" s="426">
        <f t="shared" si="1"/>
        <v>0</v>
      </c>
      <c r="K24" s="426">
        <f t="shared" si="2"/>
        <v>0</v>
      </c>
      <c r="L24" s="426">
        <f t="shared" si="3"/>
        <v>0</v>
      </c>
      <c r="M24" s="426">
        <f t="shared" si="4"/>
        <v>8333333</v>
      </c>
      <c r="N24" s="426">
        <f t="shared" si="5"/>
        <v>0</v>
      </c>
      <c r="O24" s="426">
        <f t="shared" si="6"/>
        <v>0</v>
      </c>
      <c r="P24" s="426">
        <f t="shared" si="7"/>
        <v>0</v>
      </c>
      <c r="Q24" s="426">
        <f t="shared" si="8"/>
        <v>0</v>
      </c>
      <c r="R24" s="426">
        <f t="shared" si="39"/>
        <v>8333333</v>
      </c>
      <c r="S24" s="426">
        <f t="shared" si="40"/>
        <v>0</v>
      </c>
      <c r="T24" s="426">
        <f t="shared" si="9"/>
        <v>0</v>
      </c>
      <c r="U24" s="426">
        <f t="shared" si="10"/>
        <v>0</v>
      </c>
      <c r="V24" s="426">
        <f t="shared" si="11"/>
        <v>0</v>
      </c>
      <c r="W24" s="426">
        <f t="shared" si="12"/>
        <v>0</v>
      </c>
      <c r="X24" s="426">
        <f t="shared" si="13"/>
        <v>0</v>
      </c>
      <c r="Y24" s="426">
        <f t="shared" si="14"/>
        <v>0</v>
      </c>
      <c r="Z24" s="426">
        <f t="shared" si="15"/>
        <v>0</v>
      </c>
      <c r="AA24" s="426">
        <f t="shared" si="16"/>
        <v>0</v>
      </c>
      <c r="AB24" s="426">
        <f t="shared" si="17"/>
        <v>0</v>
      </c>
      <c r="AC24" s="426">
        <f t="shared" si="18"/>
        <v>0</v>
      </c>
      <c r="AD24" s="426">
        <f t="shared" si="19"/>
        <v>0</v>
      </c>
      <c r="AE24" s="426">
        <f t="shared" si="20"/>
        <v>0</v>
      </c>
      <c r="AF24" s="426">
        <f t="shared" si="21"/>
        <v>0</v>
      </c>
      <c r="AG24" s="426">
        <f t="shared" si="22"/>
        <v>0</v>
      </c>
      <c r="AH24" s="426">
        <f t="shared" si="23"/>
        <v>0</v>
      </c>
      <c r="AI24" s="426">
        <f t="shared" si="24"/>
        <v>0</v>
      </c>
      <c r="AJ24" s="426">
        <f t="shared" si="25"/>
        <v>0</v>
      </c>
      <c r="AK24" s="426">
        <f t="shared" si="26"/>
        <v>0</v>
      </c>
      <c r="AL24" s="426">
        <f t="shared" si="27"/>
        <v>0</v>
      </c>
      <c r="AM24" s="426">
        <f t="shared" si="28"/>
        <v>0</v>
      </c>
      <c r="AN24" s="426">
        <f t="shared" si="29"/>
        <v>0</v>
      </c>
      <c r="AO24" s="426">
        <f t="shared" si="30"/>
        <v>0</v>
      </c>
      <c r="AP24" s="426">
        <f t="shared" si="31"/>
        <v>0</v>
      </c>
      <c r="AQ24" s="426">
        <f t="shared" si="32"/>
        <v>0</v>
      </c>
      <c r="AR24" s="426">
        <f t="shared" si="33"/>
        <v>0</v>
      </c>
      <c r="AS24" s="426">
        <f t="shared" si="34"/>
        <v>0</v>
      </c>
      <c r="AT24" s="426">
        <f t="shared" si="35"/>
        <v>0</v>
      </c>
      <c r="AU24" s="426">
        <f t="shared" si="36"/>
        <v>0</v>
      </c>
      <c r="AV24" s="426">
        <f t="shared" si="37"/>
        <v>0</v>
      </c>
      <c r="AW24" s="426">
        <f t="shared" si="38"/>
        <v>0</v>
      </c>
    </row>
    <row r="25" spans="1:49" s="421" customFormat="1" ht="12" customHeight="1">
      <c r="A25" s="73">
        <f t="array" ref="A25">IF(C25&lt;&gt;0,SUM(($C$11:C25&lt;&gt;0)*1),"")</f>
        <v>15</v>
      </c>
      <c r="B25" s="422">
        <v>41933</v>
      </c>
      <c r="C25" s="316" t="s">
        <v>381</v>
      </c>
      <c r="D25" s="316">
        <v>41933</v>
      </c>
      <c r="E25" s="423" t="s">
        <v>419</v>
      </c>
      <c r="F25" s="75">
        <v>262727273</v>
      </c>
      <c r="G25" s="425" t="s">
        <v>248</v>
      </c>
      <c r="H25" s="425" t="s">
        <v>9</v>
      </c>
      <c r="I25" s="73">
        <f t="shared" si="0"/>
        <v>15</v>
      </c>
      <c r="J25" s="426">
        <f t="shared" si="1"/>
        <v>0</v>
      </c>
      <c r="K25" s="426">
        <f t="shared" si="2"/>
        <v>0</v>
      </c>
      <c r="L25" s="426">
        <f t="shared" si="3"/>
        <v>0</v>
      </c>
      <c r="M25" s="426">
        <f t="shared" si="4"/>
        <v>0</v>
      </c>
      <c r="N25" s="426">
        <f t="shared" si="5"/>
        <v>0</v>
      </c>
      <c r="O25" s="426">
        <f t="shared" si="6"/>
        <v>0</v>
      </c>
      <c r="P25" s="426">
        <f t="shared" si="7"/>
        <v>0</v>
      </c>
      <c r="Q25" s="426">
        <f t="shared" si="8"/>
        <v>0</v>
      </c>
      <c r="R25" s="426">
        <f t="shared" si="39"/>
        <v>262727273</v>
      </c>
      <c r="S25" s="426">
        <f t="shared" si="40"/>
        <v>0</v>
      </c>
      <c r="T25" s="426">
        <f t="shared" si="9"/>
        <v>0</v>
      </c>
      <c r="U25" s="426">
        <f t="shared" si="10"/>
        <v>262727273</v>
      </c>
      <c r="V25" s="426">
        <f t="shared" si="11"/>
        <v>0</v>
      </c>
      <c r="W25" s="426">
        <f t="shared" si="12"/>
        <v>0</v>
      </c>
      <c r="X25" s="426">
        <f t="shared" si="13"/>
        <v>0</v>
      </c>
      <c r="Y25" s="426">
        <f t="shared" si="14"/>
        <v>0</v>
      </c>
      <c r="Z25" s="426">
        <f t="shared" si="15"/>
        <v>0</v>
      </c>
      <c r="AA25" s="426">
        <f t="shared" si="16"/>
        <v>0</v>
      </c>
      <c r="AB25" s="426">
        <f t="shared" si="17"/>
        <v>0</v>
      </c>
      <c r="AC25" s="426">
        <f t="shared" si="18"/>
        <v>0</v>
      </c>
      <c r="AD25" s="426">
        <f t="shared" si="19"/>
        <v>0</v>
      </c>
      <c r="AE25" s="426">
        <f t="shared" si="20"/>
        <v>0</v>
      </c>
      <c r="AF25" s="426">
        <f t="shared" si="21"/>
        <v>0</v>
      </c>
      <c r="AG25" s="426">
        <f t="shared" si="22"/>
        <v>0</v>
      </c>
      <c r="AH25" s="426">
        <f t="shared" si="23"/>
        <v>0</v>
      </c>
      <c r="AI25" s="426">
        <f t="shared" si="24"/>
        <v>0</v>
      </c>
      <c r="AJ25" s="426">
        <f t="shared" si="25"/>
        <v>0</v>
      </c>
      <c r="AK25" s="426">
        <f t="shared" si="26"/>
        <v>0</v>
      </c>
      <c r="AL25" s="426">
        <f t="shared" si="27"/>
        <v>0</v>
      </c>
      <c r="AM25" s="426">
        <f t="shared" si="28"/>
        <v>0</v>
      </c>
      <c r="AN25" s="426">
        <f t="shared" si="29"/>
        <v>0</v>
      </c>
      <c r="AO25" s="426">
        <f t="shared" si="30"/>
        <v>0</v>
      </c>
      <c r="AP25" s="426">
        <f t="shared" si="31"/>
        <v>0</v>
      </c>
      <c r="AQ25" s="426">
        <f t="shared" si="32"/>
        <v>0</v>
      </c>
      <c r="AR25" s="426">
        <f t="shared" si="33"/>
        <v>0</v>
      </c>
      <c r="AS25" s="426">
        <f t="shared" si="34"/>
        <v>0</v>
      </c>
      <c r="AT25" s="426">
        <f t="shared" si="35"/>
        <v>0</v>
      </c>
      <c r="AU25" s="426">
        <f t="shared" si="36"/>
        <v>0</v>
      </c>
      <c r="AV25" s="426">
        <f t="shared" si="37"/>
        <v>0</v>
      </c>
      <c r="AW25" s="426">
        <f t="shared" si="38"/>
        <v>0</v>
      </c>
    </row>
    <row r="26" spans="1:49" s="421" customFormat="1" ht="12" customHeight="1">
      <c r="A26" s="73">
        <f t="array" ref="A26">IF(C26&lt;&gt;0,SUM(($C$11:C26&lt;&gt;0)*1),"")</f>
        <v>16</v>
      </c>
      <c r="B26" s="422">
        <v>41933</v>
      </c>
      <c r="C26" s="316" t="s">
        <v>381</v>
      </c>
      <c r="D26" s="316">
        <v>41933</v>
      </c>
      <c r="E26" s="423" t="s">
        <v>420</v>
      </c>
      <c r="F26" s="75">
        <v>26272727</v>
      </c>
      <c r="G26" s="425" t="s">
        <v>10</v>
      </c>
      <c r="H26" s="425" t="s">
        <v>9</v>
      </c>
      <c r="I26" s="73">
        <f t="shared" si="0"/>
        <v>16</v>
      </c>
      <c r="J26" s="426">
        <f t="shared" si="1"/>
        <v>0</v>
      </c>
      <c r="K26" s="426">
        <f t="shared" si="2"/>
        <v>0</v>
      </c>
      <c r="L26" s="426">
        <f t="shared" si="3"/>
        <v>0</v>
      </c>
      <c r="M26" s="426">
        <f t="shared" si="4"/>
        <v>0</v>
      </c>
      <c r="N26" s="426">
        <f t="shared" si="5"/>
        <v>26272727</v>
      </c>
      <c r="O26" s="426">
        <f t="shared" si="6"/>
        <v>0</v>
      </c>
      <c r="P26" s="426">
        <f t="shared" si="7"/>
        <v>0</v>
      </c>
      <c r="Q26" s="426">
        <f t="shared" si="8"/>
        <v>0</v>
      </c>
      <c r="R26" s="426">
        <f t="shared" si="39"/>
        <v>0</v>
      </c>
      <c r="S26" s="426">
        <f t="shared" si="40"/>
        <v>0</v>
      </c>
      <c r="T26" s="426">
        <f t="shared" si="9"/>
        <v>0</v>
      </c>
      <c r="U26" s="426">
        <f t="shared" si="10"/>
        <v>26272727</v>
      </c>
      <c r="V26" s="426">
        <f t="shared" si="11"/>
        <v>0</v>
      </c>
      <c r="W26" s="426">
        <f t="shared" si="12"/>
        <v>0</v>
      </c>
      <c r="X26" s="426">
        <f t="shared" si="13"/>
        <v>0</v>
      </c>
      <c r="Y26" s="426">
        <f t="shared" si="14"/>
        <v>0</v>
      </c>
      <c r="Z26" s="426">
        <f t="shared" si="15"/>
        <v>0</v>
      </c>
      <c r="AA26" s="426">
        <f t="shared" si="16"/>
        <v>0</v>
      </c>
      <c r="AB26" s="426">
        <f t="shared" si="17"/>
        <v>0</v>
      </c>
      <c r="AC26" s="426">
        <f t="shared" si="18"/>
        <v>0</v>
      </c>
      <c r="AD26" s="426">
        <f t="shared" si="19"/>
        <v>0</v>
      </c>
      <c r="AE26" s="426">
        <f t="shared" si="20"/>
        <v>0</v>
      </c>
      <c r="AF26" s="426">
        <f t="shared" si="21"/>
        <v>0</v>
      </c>
      <c r="AG26" s="426">
        <f t="shared" si="22"/>
        <v>0</v>
      </c>
      <c r="AH26" s="426">
        <f t="shared" si="23"/>
        <v>0</v>
      </c>
      <c r="AI26" s="426">
        <f t="shared" si="24"/>
        <v>0</v>
      </c>
      <c r="AJ26" s="426">
        <f t="shared" si="25"/>
        <v>0</v>
      </c>
      <c r="AK26" s="426">
        <f t="shared" si="26"/>
        <v>0</v>
      </c>
      <c r="AL26" s="426">
        <f t="shared" si="27"/>
        <v>0</v>
      </c>
      <c r="AM26" s="426">
        <f t="shared" si="28"/>
        <v>0</v>
      </c>
      <c r="AN26" s="426">
        <f t="shared" si="29"/>
        <v>0</v>
      </c>
      <c r="AO26" s="426">
        <f t="shared" si="30"/>
        <v>0</v>
      </c>
      <c r="AP26" s="426">
        <f t="shared" si="31"/>
        <v>0</v>
      </c>
      <c r="AQ26" s="426">
        <f t="shared" si="32"/>
        <v>0</v>
      </c>
      <c r="AR26" s="426">
        <f t="shared" si="33"/>
        <v>0</v>
      </c>
      <c r="AS26" s="426">
        <f t="shared" si="34"/>
        <v>0</v>
      </c>
      <c r="AT26" s="426">
        <f t="shared" si="35"/>
        <v>0</v>
      </c>
      <c r="AU26" s="426">
        <f t="shared" si="36"/>
        <v>0</v>
      </c>
      <c r="AV26" s="426">
        <f t="shared" si="37"/>
        <v>0</v>
      </c>
      <c r="AW26" s="426">
        <f t="shared" si="38"/>
        <v>0</v>
      </c>
    </row>
    <row r="27" spans="1:49" s="421" customFormat="1" ht="12" customHeight="1">
      <c r="A27" s="73">
        <f t="array" ref="A27">IF(C27&lt;&gt;0,SUM(($C$11:C27&lt;&gt;0)*1),"")</f>
        <v>17</v>
      </c>
      <c r="B27" s="422">
        <v>41934</v>
      </c>
      <c r="C27" s="316" t="s">
        <v>11</v>
      </c>
      <c r="D27" s="316">
        <v>41934</v>
      </c>
      <c r="E27" s="423" t="s">
        <v>385</v>
      </c>
      <c r="F27" s="75">
        <v>1600000000</v>
      </c>
      <c r="G27" s="425" t="s">
        <v>34</v>
      </c>
      <c r="H27" s="425" t="s">
        <v>65</v>
      </c>
      <c r="I27" s="73">
        <f t="shared" si="0"/>
        <v>17</v>
      </c>
      <c r="J27" s="426">
        <f t="shared" si="1"/>
        <v>0</v>
      </c>
      <c r="K27" s="426">
        <f t="shared" si="2"/>
        <v>0</v>
      </c>
      <c r="L27" s="426">
        <f t="shared" si="3"/>
        <v>1600000000</v>
      </c>
      <c r="M27" s="426">
        <f t="shared" si="4"/>
        <v>0</v>
      </c>
      <c r="N27" s="426">
        <f t="shared" si="5"/>
        <v>0</v>
      </c>
      <c r="O27" s="426">
        <f t="shared" si="6"/>
        <v>0</v>
      </c>
      <c r="P27" s="426">
        <f t="shared" si="7"/>
        <v>0</v>
      </c>
      <c r="Q27" s="426">
        <f t="shared" si="8"/>
        <v>0</v>
      </c>
      <c r="R27" s="426">
        <f t="shared" si="39"/>
        <v>0</v>
      </c>
      <c r="S27" s="426">
        <f t="shared" si="40"/>
        <v>0</v>
      </c>
      <c r="T27" s="426">
        <f t="shared" si="9"/>
        <v>0</v>
      </c>
      <c r="U27" s="426">
        <f t="shared" si="10"/>
        <v>0</v>
      </c>
      <c r="V27" s="426">
        <f t="shared" si="11"/>
        <v>0</v>
      </c>
      <c r="W27" s="426">
        <f t="shared" si="12"/>
        <v>0</v>
      </c>
      <c r="X27" s="426">
        <f t="shared" si="13"/>
        <v>0</v>
      </c>
      <c r="Y27" s="426">
        <f t="shared" si="14"/>
        <v>0</v>
      </c>
      <c r="Z27" s="426">
        <f t="shared" si="15"/>
        <v>0</v>
      </c>
      <c r="AA27" s="426">
        <f t="shared" si="16"/>
        <v>0</v>
      </c>
      <c r="AB27" s="426">
        <f t="shared" si="17"/>
        <v>0</v>
      </c>
      <c r="AC27" s="426">
        <f t="shared" si="18"/>
        <v>0</v>
      </c>
      <c r="AD27" s="426">
        <f t="shared" si="19"/>
        <v>0</v>
      </c>
      <c r="AE27" s="426">
        <f t="shared" si="20"/>
        <v>0</v>
      </c>
      <c r="AF27" s="426">
        <f t="shared" si="21"/>
        <v>0</v>
      </c>
      <c r="AG27" s="426">
        <f t="shared" si="22"/>
        <v>0</v>
      </c>
      <c r="AH27" s="426">
        <f t="shared" si="23"/>
        <v>0</v>
      </c>
      <c r="AI27" s="426">
        <f t="shared" si="24"/>
        <v>0</v>
      </c>
      <c r="AJ27" s="426">
        <f t="shared" si="25"/>
        <v>0</v>
      </c>
      <c r="AK27" s="426">
        <f t="shared" si="26"/>
        <v>0</v>
      </c>
      <c r="AL27" s="426">
        <f t="shared" si="27"/>
        <v>0</v>
      </c>
      <c r="AM27" s="426">
        <f t="shared" si="28"/>
        <v>0</v>
      </c>
      <c r="AN27" s="426">
        <f t="shared" si="29"/>
        <v>0</v>
      </c>
      <c r="AO27" s="426">
        <f t="shared" si="30"/>
        <v>0</v>
      </c>
      <c r="AP27" s="426">
        <f t="shared" si="31"/>
        <v>0</v>
      </c>
      <c r="AQ27" s="426">
        <f t="shared" si="32"/>
        <v>0</v>
      </c>
      <c r="AR27" s="426">
        <f t="shared" si="33"/>
        <v>0</v>
      </c>
      <c r="AS27" s="426">
        <f t="shared" si="34"/>
        <v>0</v>
      </c>
      <c r="AT27" s="426">
        <f t="shared" si="35"/>
        <v>0</v>
      </c>
      <c r="AU27" s="426">
        <f t="shared" si="36"/>
        <v>0</v>
      </c>
      <c r="AV27" s="426">
        <f t="shared" si="37"/>
        <v>0</v>
      </c>
      <c r="AW27" s="426">
        <f t="shared" si="38"/>
        <v>0</v>
      </c>
    </row>
    <row r="28" spans="1:49" s="421" customFormat="1" ht="12" customHeight="1">
      <c r="A28" s="73">
        <f t="array" ref="A28">IF(C28&lt;&gt;0,SUM(($C$11:C28&lt;&gt;0)*1),"")</f>
        <v>18</v>
      </c>
      <c r="B28" s="422">
        <v>41934</v>
      </c>
      <c r="C28" s="316" t="s">
        <v>384</v>
      </c>
      <c r="D28" s="316">
        <v>41934</v>
      </c>
      <c r="E28" s="423" t="s">
        <v>439</v>
      </c>
      <c r="F28" s="75">
        <v>31280000</v>
      </c>
      <c r="G28" s="425" t="s">
        <v>348</v>
      </c>
      <c r="H28" s="425" t="s">
        <v>9</v>
      </c>
      <c r="I28" s="73">
        <f t="shared" si="0"/>
        <v>18</v>
      </c>
      <c r="J28" s="426">
        <f t="shared" si="1"/>
        <v>0</v>
      </c>
      <c r="K28" s="426">
        <f t="shared" si="2"/>
        <v>0</v>
      </c>
      <c r="L28" s="426">
        <f t="shared" si="3"/>
        <v>0</v>
      </c>
      <c r="M28" s="426">
        <f t="shared" si="4"/>
        <v>0</v>
      </c>
      <c r="N28" s="426">
        <f t="shared" si="5"/>
        <v>0</v>
      </c>
      <c r="O28" s="426">
        <f t="shared" si="6"/>
        <v>0</v>
      </c>
      <c r="P28" s="426">
        <f t="shared" si="7"/>
        <v>0</v>
      </c>
      <c r="Q28" s="426">
        <f t="shared" si="8"/>
        <v>0</v>
      </c>
      <c r="R28" s="426">
        <f t="shared" si="39"/>
        <v>0</v>
      </c>
      <c r="S28" s="426">
        <f t="shared" si="40"/>
        <v>0</v>
      </c>
      <c r="T28" s="426">
        <f t="shared" si="9"/>
        <v>0</v>
      </c>
      <c r="U28" s="426">
        <f t="shared" si="10"/>
        <v>31280000</v>
      </c>
      <c r="V28" s="426">
        <f t="shared" si="11"/>
        <v>0</v>
      </c>
      <c r="W28" s="426">
        <f t="shared" si="12"/>
        <v>0</v>
      </c>
      <c r="X28" s="426">
        <f t="shared" si="13"/>
        <v>0</v>
      </c>
      <c r="Y28" s="426">
        <f t="shared" si="14"/>
        <v>0</v>
      </c>
      <c r="Z28" s="426">
        <f t="shared" si="15"/>
        <v>0</v>
      </c>
      <c r="AA28" s="426">
        <f t="shared" si="16"/>
        <v>0</v>
      </c>
      <c r="AB28" s="426">
        <f t="shared" si="17"/>
        <v>0</v>
      </c>
      <c r="AC28" s="426">
        <f t="shared" si="18"/>
        <v>0</v>
      </c>
      <c r="AD28" s="426">
        <f t="shared" si="19"/>
        <v>0</v>
      </c>
      <c r="AE28" s="426">
        <f t="shared" si="20"/>
        <v>0</v>
      </c>
      <c r="AF28" s="426">
        <f t="shared" si="21"/>
        <v>0</v>
      </c>
      <c r="AG28" s="426">
        <f t="shared" si="22"/>
        <v>0</v>
      </c>
      <c r="AH28" s="426">
        <f t="shared" si="23"/>
        <v>0</v>
      </c>
      <c r="AI28" s="426">
        <f t="shared" si="24"/>
        <v>0</v>
      </c>
      <c r="AJ28" s="426">
        <f t="shared" si="25"/>
        <v>0</v>
      </c>
      <c r="AK28" s="426">
        <f t="shared" si="26"/>
        <v>0</v>
      </c>
      <c r="AL28" s="426">
        <f t="shared" si="27"/>
        <v>0</v>
      </c>
      <c r="AM28" s="426">
        <f t="shared" si="28"/>
        <v>0</v>
      </c>
      <c r="AN28" s="426">
        <f t="shared" si="29"/>
        <v>0</v>
      </c>
      <c r="AO28" s="426">
        <f t="shared" si="30"/>
        <v>0</v>
      </c>
      <c r="AP28" s="426">
        <f t="shared" si="31"/>
        <v>0</v>
      </c>
      <c r="AQ28" s="426">
        <f t="shared" si="32"/>
        <v>0</v>
      </c>
      <c r="AR28" s="426">
        <f t="shared" si="33"/>
        <v>0</v>
      </c>
      <c r="AS28" s="426">
        <f t="shared" si="34"/>
        <v>0</v>
      </c>
      <c r="AT28" s="426">
        <f t="shared" si="35"/>
        <v>0</v>
      </c>
      <c r="AU28" s="426">
        <f t="shared" si="36"/>
        <v>0</v>
      </c>
      <c r="AV28" s="426">
        <f t="shared" si="37"/>
        <v>0</v>
      </c>
      <c r="AW28" s="426">
        <f t="shared" si="38"/>
        <v>0</v>
      </c>
    </row>
    <row r="29" spans="1:49" s="421" customFormat="1" ht="12" customHeight="1">
      <c r="A29" s="73">
        <f t="array" ref="A29">IF(C29&lt;&gt;0,SUM(($C$11:C29&lt;&gt;0)*1),"")</f>
        <v>19</v>
      </c>
      <c r="B29" s="422">
        <v>41934</v>
      </c>
      <c r="C29" s="316" t="s">
        <v>384</v>
      </c>
      <c r="D29" s="316">
        <v>41934</v>
      </c>
      <c r="E29" s="423" t="s">
        <v>401</v>
      </c>
      <c r="F29" s="75">
        <v>3128000</v>
      </c>
      <c r="G29" s="425" t="s">
        <v>10</v>
      </c>
      <c r="H29" s="425" t="s">
        <v>9</v>
      </c>
      <c r="I29" s="73">
        <f t="shared" si="0"/>
        <v>19</v>
      </c>
      <c r="J29" s="426">
        <f t="shared" si="1"/>
        <v>0</v>
      </c>
      <c r="K29" s="426">
        <f t="shared" si="2"/>
        <v>0</v>
      </c>
      <c r="L29" s="426">
        <f t="shared" si="3"/>
        <v>0</v>
      </c>
      <c r="M29" s="426">
        <f t="shared" si="4"/>
        <v>0</v>
      </c>
      <c r="N29" s="426">
        <f t="shared" si="5"/>
        <v>3128000</v>
      </c>
      <c r="O29" s="426">
        <f t="shared" si="6"/>
        <v>0</v>
      </c>
      <c r="P29" s="426">
        <f t="shared" si="7"/>
        <v>0</v>
      </c>
      <c r="Q29" s="426">
        <f t="shared" si="8"/>
        <v>0</v>
      </c>
      <c r="R29" s="426">
        <f t="shared" si="39"/>
        <v>0</v>
      </c>
      <c r="S29" s="426">
        <f t="shared" si="40"/>
        <v>0</v>
      </c>
      <c r="T29" s="426">
        <f t="shared" si="9"/>
        <v>0</v>
      </c>
      <c r="U29" s="426">
        <f t="shared" si="10"/>
        <v>3128000</v>
      </c>
      <c r="V29" s="426">
        <f t="shared" si="11"/>
        <v>0</v>
      </c>
      <c r="W29" s="426">
        <f t="shared" si="12"/>
        <v>0</v>
      </c>
      <c r="X29" s="426">
        <f t="shared" si="13"/>
        <v>0</v>
      </c>
      <c r="Y29" s="426">
        <f t="shared" si="14"/>
        <v>0</v>
      </c>
      <c r="Z29" s="426">
        <f t="shared" si="15"/>
        <v>0</v>
      </c>
      <c r="AA29" s="426">
        <f t="shared" si="16"/>
        <v>0</v>
      </c>
      <c r="AB29" s="426">
        <f t="shared" si="17"/>
        <v>0</v>
      </c>
      <c r="AC29" s="426">
        <f t="shared" si="18"/>
        <v>0</v>
      </c>
      <c r="AD29" s="426">
        <f t="shared" si="19"/>
        <v>0</v>
      </c>
      <c r="AE29" s="426">
        <f t="shared" si="20"/>
        <v>0</v>
      </c>
      <c r="AF29" s="426">
        <f t="shared" si="21"/>
        <v>0</v>
      </c>
      <c r="AG29" s="426">
        <f t="shared" si="22"/>
        <v>0</v>
      </c>
      <c r="AH29" s="426">
        <f t="shared" si="23"/>
        <v>0</v>
      </c>
      <c r="AI29" s="426">
        <f t="shared" si="24"/>
        <v>0</v>
      </c>
      <c r="AJ29" s="426">
        <f t="shared" si="25"/>
        <v>0</v>
      </c>
      <c r="AK29" s="426">
        <f t="shared" si="26"/>
        <v>0</v>
      </c>
      <c r="AL29" s="426">
        <f t="shared" si="27"/>
        <v>0</v>
      </c>
      <c r="AM29" s="426">
        <f t="shared" si="28"/>
        <v>0</v>
      </c>
      <c r="AN29" s="426">
        <f t="shared" si="29"/>
        <v>0</v>
      </c>
      <c r="AO29" s="426">
        <f t="shared" si="30"/>
        <v>0</v>
      </c>
      <c r="AP29" s="426">
        <f t="shared" si="31"/>
        <v>0</v>
      </c>
      <c r="AQ29" s="426">
        <f t="shared" si="32"/>
        <v>0</v>
      </c>
      <c r="AR29" s="426">
        <f t="shared" si="33"/>
        <v>0</v>
      </c>
      <c r="AS29" s="426">
        <f t="shared" si="34"/>
        <v>0</v>
      </c>
      <c r="AT29" s="426">
        <f t="shared" si="35"/>
        <v>0</v>
      </c>
      <c r="AU29" s="426">
        <f t="shared" si="36"/>
        <v>0</v>
      </c>
      <c r="AV29" s="426">
        <f t="shared" si="37"/>
        <v>0</v>
      </c>
      <c r="AW29" s="426">
        <f t="shared" si="38"/>
        <v>0</v>
      </c>
    </row>
    <row r="30" spans="1:49" s="421" customFormat="1" ht="12" customHeight="1">
      <c r="A30" s="73">
        <f t="array" ref="A30">IF(C30&lt;&gt;0,SUM(($C$11:C30&lt;&gt;0)*1),"")</f>
        <v>20</v>
      </c>
      <c r="B30" s="422">
        <v>41935</v>
      </c>
      <c r="C30" s="316" t="s">
        <v>8</v>
      </c>
      <c r="D30" s="316">
        <v>41935</v>
      </c>
      <c r="E30" s="423" t="s">
        <v>372</v>
      </c>
      <c r="F30" s="75">
        <v>1500000000</v>
      </c>
      <c r="G30" s="425" t="s">
        <v>9</v>
      </c>
      <c r="H30" s="425" t="s">
        <v>34</v>
      </c>
      <c r="I30" s="73">
        <f t="shared" si="0"/>
        <v>20</v>
      </c>
      <c r="J30" s="426">
        <f t="shared" si="1"/>
        <v>0</v>
      </c>
      <c r="K30" s="426">
        <f t="shared" si="2"/>
        <v>0</v>
      </c>
      <c r="L30" s="426">
        <f t="shared" si="3"/>
        <v>0</v>
      </c>
      <c r="M30" s="426">
        <f t="shared" si="4"/>
        <v>1500000000</v>
      </c>
      <c r="N30" s="426">
        <f t="shared" si="5"/>
        <v>0</v>
      </c>
      <c r="O30" s="426">
        <f t="shared" si="6"/>
        <v>0</v>
      </c>
      <c r="P30" s="426">
        <f t="shared" si="7"/>
        <v>0</v>
      </c>
      <c r="Q30" s="426">
        <f t="shared" si="8"/>
        <v>0</v>
      </c>
      <c r="R30" s="426">
        <f t="shared" si="39"/>
        <v>0</v>
      </c>
      <c r="S30" s="426">
        <f t="shared" si="40"/>
        <v>0</v>
      </c>
      <c r="T30" s="426">
        <f t="shared" si="9"/>
        <v>1500000000</v>
      </c>
      <c r="U30" s="426">
        <f t="shared" si="10"/>
        <v>0</v>
      </c>
      <c r="V30" s="426">
        <f t="shared" si="11"/>
        <v>0</v>
      </c>
      <c r="W30" s="426">
        <f t="shared" si="12"/>
        <v>0</v>
      </c>
      <c r="X30" s="426">
        <f t="shared" si="13"/>
        <v>0</v>
      </c>
      <c r="Y30" s="426">
        <f t="shared" si="14"/>
        <v>0</v>
      </c>
      <c r="Z30" s="426">
        <f t="shared" si="15"/>
        <v>0</v>
      </c>
      <c r="AA30" s="426">
        <f t="shared" si="16"/>
        <v>0</v>
      </c>
      <c r="AB30" s="426">
        <f t="shared" si="17"/>
        <v>0</v>
      </c>
      <c r="AC30" s="426">
        <f t="shared" si="18"/>
        <v>0</v>
      </c>
      <c r="AD30" s="426">
        <f t="shared" si="19"/>
        <v>0</v>
      </c>
      <c r="AE30" s="426">
        <f t="shared" si="20"/>
        <v>0</v>
      </c>
      <c r="AF30" s="426">
        <f t="shared" si="21"/>
        <v>0</v>
      </c>
      <c r="AG30" s="426">
        <f t="shared" si="22"/>
        <v>0</v>
      </c>
      <c r="AH30" s="426">
        <f t="shared" si="23"/>
        <v>0</v>
      </c>
      <c r="AI30" s="426">
        <f t="shared" si="24"/>
        <v>0</v>
      </c>
      <c r="AJ30" s="426">
        <f t="shared" si="25"/>
        <v>0</v>
      </c>
      <c r="AK30" s="426">
        <f t="shared" si="26"/>
        <v>0</v>
      </c>
      <c r="AL30" s="426">
        <f t="shared" si="27"/>
        <v>0</v>
      </c>
      <c r="AM30" s="426">
        <f t="shared" si="28"/>
        <v>0</v>
      </c>
      <c r="AN30" s="426">
        <f t="shared" si="29"/>
        <v>0</v>
      </c>
      <c r="AO30" s="426">
        <f t="shared" si="30"/>
        <v>0</v>
      </c>
      <c r="AP30" s="426">
        <f t="shared" si="31"/>
        <v>0</v>
      </c>
      <c r="AQ30" s="426">
        <f t="shared" si="32"/>
        <v>0</v>
      </c>
      <c r="AR30" s="426">
        <f t="shared" si="33"/>
        <v>0</v>
      </c>
      <c r="AS30" s="426">
        <f t="shared" si="34"/>
        <v>0</v>
      </c>
      <c r="AT30" s="426">
        <f t="shared" si="35"/>
        <v>0</v>
      </c>
      <c r="AU30" s="426">
        <f t="shared" si="36"/>
        <v>0</v>
      </c>
      <c r="AV30" s="426">
        <f t="shared" si="37"/>
        <v>0</v>
      </c>
      <c r="AW30" s="426">
        <f t="shared" si="38"/>
        <v>0</v>
      </c>
    </row>
    <row r="31" spans="1:49" s="421" customFormat="1" ht="12" customHeight="1">
      <c r="A31" s="73">
        <f t="array" ref="A31">IF(C31&lt;&gt;0,SUM(($C$11:C31&lt;&gt;0)*1),"")</f>
        <v>21</v>
      </c>
      <c r="B31" s="422">
        <v>41935</v>
      </c>
      <c r="C31" s="316" t="s">
        <v>8</v>
      </c>
      <c r="D31" s="316">
        <v>41935</v>
      </c>
      <c r="E31" s="423" t="s">
        <v>21</v>
      </c>
      <c r="F31" s="75">
        <v>750000</v>
      </c>
      <c r="G31" s="425" t="s">
        <v>348</v>
      </c>
      <c r="H31" s="425" t="s">
        <v>34</v>
      </c>
      <c r="I31" s="73">
        <f t="shared" si="0"/>
        <v>21</v>
      </c>
      <c r="J31" s="426">
        <f t="shared" si="1"/>
        <v>0</v>
      </c>
      <c r="K31" s="426">
        <f t="shared" si="2"/>
        <v>0</v>
      </c>
      <c r="L31" s="426">
        <f t="shared" si="3"/>
        <v>0</v>
      </c>
      <c r="M31" s="426">
        <f t="shared" si="4"/>
        <v>750000</v>
      </c>
      <c r="N31" s="426">
        <f t="shared" si="5"/>
        <v>0</v>
      </c>
      <c r="O31" s="426">
        <f t="shared" si="6"/>
        <v>0</v>
      </c>
      <c r="P31" s="426">
        <f t="shared" si="7"/>
        <v>0</v>
      </c>
      <c r="Q31" s="426">
        <f t="shared" si="8"/>
        <v>0</v>
      </c>
      <c r="R31" s="426">
        <f t="shared" si="39"/>
        <v>0</v>
      </c>
      <c r="S31" s="426">
        <f t="shared" si="40"/>
        <v>0</v>
      </c>
      <c r="T31" s="426">
        <f t="shared" si="9"/>
        <v>0</v>
      </c>
      <c r="U31" s="426">
        <f t="shared" si="10"/>
        <v>0</v>
      </c>
      <c r="V31" s="426">
        <f t="shared" si="11"/>
        <v>0</v>
      </c>
      <c r="W31" s="426">
        <f t="shared" si="12"/>
        <v>0</v>
      </c>
      <c r="X31" s="426">
        <f t="shared" si="13"/>
        <v>0</v>
      </c>
      <c r="Y31" s="426">
        <f t="shared" si="14"/>
        <v>0</v>
      </c>
      <c r="Z31" s="426">
        <f t="shared" si="15"/>
        <v>0</v>
      </c>
      <c r="AA31" s="426">
        <f t="shared" si="16"/>
        <v>0</v>
      </c>
      <c r="AB31" s="426">
        <f t="shared" si="17"/>
        <v>0</v>
      </c>
      <c r="AC31" s="426">
        <f t="shared" si="18"/>
        <v>0</v>
      </c>
      <c r="AD31" s="426">
        <f t="shared" si="19"/>
        <v>0</v>
      </c>
      <c r="AE31" s="426">
        <f t="shared" si="20"/>
        <v>0</v>
      </c>
      <c r="AF31" s="426">
        <f t="shared" si="21"/>
        <v>0</v>
      </c>
      <c r="AG31" s="426">
        <f t="shared" si="22"/>
        <v>0</v>
      </c>
      <c r="AH31" s="426">
        <f t="shared" si="23"/>
        <v>0</v>
      </c>
      <c r="AI31" s="426">
        <f t="shared" si="24"/>
        <v>0</v>
      </c>
      <c r="AJ31" s="426">
        <f t="shared" si="25"/>
        <v>0</v>
      </c>
      <c r="AK31" s="426">
        <f t="shared" si="26"/>
        <v>0</v>
      </c>
      <c r="AL31" s="426">
        <f t="shared" si="27"/>
        <v>0</v>
      </c>
      <c r="AM31" s="426">
        <f t="shared" si="28"/>
        <v>0</v>
      </c>
      <c r="AN31" s="426">
        <f t="shared" si="29"/>
        <v>0</v>
      </c>
      <c r="AO31" s="426">
        <f t="shared" si="30"/>
        <v>0</v>
      </c>
      <c r="AP31" s="426">
        <f t="shared" si="31"/>
        <v>0</v>
      </c>
      <c r="AQ31" s="426">
        <f t="shared" si="32"/>
        <v>0</v>
      </c>
      <c r="AR31" s="426">
        <f t="shared" si="33"/>
        <v>0</v>
      </c>
      <c r="AS31" s="426">
        <f t="shared" si="34"/>
        <v>0</v>
      </c>
      <c r="AT31" s="426">
        <f t="shared" si="35"/>
        <v>0</v>
      </c>
      <c r="AU31" s="426">
        <f t="shared" si="36"/>
        <v>0</v>
      </c>
      <c r="AV31" s="426">
        <f t="shared" si="37"/>
        <v>0</v>
      </c>
      <c r="AW31" s="426">
        <f t="shared" si="38"/>
        <v>0</v>
      </c>
    </row>
    <row r="32" spans="1:49" s="421" customFormat="1" ht="12" customHeight="1">
      <c r="A32" s="73">
        <f t="array" ref="A32">IF(C32&lt;&gt;0,SUM(($C$11:C32&lt;&gt;0)*1),"")</f>
        <v>22</v>
      </c>
      <c r="B32" s="422">
        <v>41935</v>
      </c>
      <c r="C32" s="316" t="s">
        <v>8</v>
      </c>
      <c r="D32" s="316">
        <v>41935</v>
      </c>
      <c r="E32" s="423" t="s">
        <v>335</v>
      </c>
      <c r="F32" s="75">
        <v>75000</v>
      </c>
      <c r="G32" s="425" t="s">
        <v>10</v>
      </c>
      <c r="H32" s="425" t="s">
        <v>34</v>
      </c>
      <c r="I32" s="73">
        <f t="shared" si="0"/>
        <v>22</v>
      </c>
      <c r="J32" s="426">
        <f t="shared" si="1"/>
        <v>0</v>
      </c>
      <c r="K32" s="426">
        <f t="shared" si="2"/>
        <v>0</v>
      </c>
      <c r="L32" s="426">
        <f t="shared" si="3"/>
        <v>0</v>
      </c>
      <c r="M32" s="426">
        <f t="shared" si="4"/>
        <v>75000</v>
      </c>
      <c r="N32" s="426">
        <f t="shared" si="5"/>
        <v>75000</v>
      </c>
      <c r="O32" s="426">
        <f t="shared" si="6"/>
        <v>0</v>
      </c>
      <c r="P32" s="426">
        <f t="shared" si="7"/>
        <v>0</v>
      </c>
      <c r="Q32" s="426">
        <f t="shared" si="8"/>
        <v>0</v>
      </c>
      <c r="R32" s="426">
        <f t="shared" si="39"/>
        <v>0</v>
      </c>
      <c r="S32" s="426">
        <f t="shared" si="40"/>
        <v>0</v>
      </c>
      <c r="T32" s="426">
        <f t="shared" si="9"/>
        <v>0</v>
      </c>
      <c r="U32" s="426">
        <f t="shared" si="10"/>
        <v>0</v>
      </c>
      <c r="V32" s="426">
        <f t="shared" si="11"/>
        <v>0</v>
      </c>
      <c r="W32" s="426">
        <f t="shared" si="12"/>
        <v>0</v>
      </c>
      <c r="X32" s="426">
        <f t="shared" si="13"/>
        <v>0</v>
      </c>
      <c r="Y32" s="426">
        <f t="shared" si="14"/>
        <v>0</v>
      </c>
      <c r="Z32" s="426">
        <f t="shared" si="15"/>
        <v>0</v>
      </c>
      <c r="AA32" s="426">
        <f t="shared" si="16"/>
        <v>0</v>
      </c>
      <c r="AB32" s="426">
        <f t="shared" si="17"/>
        <v>0</v>
      </c>
      <c r="AC32" s="426">
        <f t="shared" si="18"/>
        <v>0</v>
      </c>
      <c r="AD32" s="426">
        <f t="shared" si="19"/>
        <v>0</v>
      </c>
      <c r="AE32" s="426">
        <f t="shared" si="20"/>
        <v>0</v>
      </c>
      <c r="AF32" s="426">
        <f t="shared" si="21"/>
        <v>0</v>
      </c>
      <c r="AG32" s="426">
        <f t="shared" si="22"/>
        <v>0</v>
      </c>
      <c r="AH32" s="426">
        <f t="shared" si="23"/>
        <v>0</v>
      </c>
      <c r="AI32" s="426">
        <f t="shared" si="24"/>
        <v>0</v>
      </c>
      <c r="AJ32" s="426">
        <f t="shared" si="25"/>
        <v>0</v>
      </c>
      <c r="AK32" s="426">
        <f t="shared" si="26"/>
        <v>0</v>
      </c>
      <c r="AL32" s="426">
        <f t="shared" si="27"/>
        <v>0</v>
      </c>
      <c r="AM32" s="426">
        <f t="shared" si="28"/>
        <v>0</v>
      </c>
      <c r="AN32" s="426">
        <f t="shared" si="29"/>
        <v>0</v>
      </c>
      <c r="AO32" s="426">
        <f t="shared" si="30"/>
        <v>0</v>
      </c>
      <c r="AP32" s="426">
        <f t="shared" si="31"/>
        <v>0</v>
      </c>
      <c r="AQ32" s="426">
        <f t="shared" si="32"/>
        <v>0</v>
      </c>
      <c r="AR32" s="426">
        <f t="shared" si="33"/>
        <v>0</v>
      </c>
      <c r="AS32" s="426">
        <f t="shared" si="34"/>
        <v>0</v>
      </c>
      <c r="AT32" s="426">
        <f t="shared" si="35"/>
        <v>0</v>
      </c>
      <c r="AU32" s="426">
        <f t="shared" si="36"/>
        <v>0</v>
      </c>
      <c r="AV32" s="426">
        <f t="shared" si="37"/>
        <v>0</v>
      </c>
      <c r="AW32" s="426">
        <f t="shared" si="38"/>
        <v>0</v>
      </c>
    </row>
    <row r="33" spans="1:49" s="421" customFormat="1" ht="12" customHeight="1">
      <c r="A33" s="73">
        <f t="array" ref="A33">IF(C33&lt;&gt;0,SUM(($C$11:C33&lt;&gt;0)*1),"")</f>
        <v>23</v>
      </c>
      <c r="B33" s="422">
        <v>41936</v>
      </c>
      <c r="C33" s="316" t="s">
        <v>11</v>
      </c>
      <c r="D33" s="316">
        <v>41936</v>
      </c>
      <c r="E33" s="423" t="s">
        <v>66</v>
      </c>
      <c r="F33" s="75">
        <v>322248</v>
      </c>
      <c r="G33" s="425" t="s">
        <v>34</v>
      </c>
      <c r="H33" s="425" t="s">
        <v>67</v>
      </c>
      <c r="I33" s="73">
        <f t="shared" si="0"/>
        <v>23</v>
      </c>
      <c r="J33" s="426">
        <f t="shared" si="1"/>
        <v>0</v>
      </c>
      <c r="K33" s="426">
        <f t="shared" si="2"/>
        <v>0</v>
      </c>
      <c r="L33" s="426">
        <f t="shared" si="3"/>
        <v>322248</v>
      </c>
      <c r="M33" s="426">
        <f t="shared" si="4"/>
        <v>0</v>
      </c>
      <c r="N33" s="426">
        <f t="shared" si="5"/>
        <v>0</v>
      </c>
      <c r="O33" s="426">
        <f t="shared" si="6"/>
        <v>0</v>
      </c>
      <c r="P33" s="426">
        <f t="shared" si="7"/>
        <v>0</v>
      </c>
      <c r="Q33" s="426">
        <f t="shared" si="8"/>
        <v>0</v>
      </c>
      <c r="R33" s="426">
        <f t="shared" si="39"/>
        <v>0</v>
      </c>
      <c r="S33" s="426">
        <f t="shared" si="40"/>
        <v>0</v>
      </c>
      <c r="T33" s="426">
        <f t="shared" si="9"/>
        <v>0</v>
      </c>
      <c r="U33" s="426">
        <f t="shared" si="10"/>
        <v>0</v>
      </c>
      <c r="V33" s="426">
        <f t="shared" si="11"/>
        <v>0</v>
      </c>
      <c r="W33" s="426">
        <f t="shared" si="12"/>
        <v>0</v>
      </c>
      <c r="X33" s="426">
        <f t="shared" si="13"/>
        <v>0</v>
      </c>
      <c r="Y33" s="426">
        <f t="shared" si="14"/>
        <v>0</v>
      </c>
      <c r="Z33" s="426">
        <f t="shared" si="15"/>
        <v>0</v>
      </c>
      <c r="AA33" s="426">
        <f t="shared" si="16"/>
        <v>0</v>
      </c>
      <c r="AB33" s="426">
        <f t="shared" si="17"/>
        <v>0</v>
      </c>
      <c r="AC33" s="426">
        <f t="shared" si="18"/>
        <v>0</v>
      </c>
      <c r="AD33" s="426">
        <f t="shared" si="19"/>
        <v>0</v>
      </c>
      <c r="AE33" s="426">
        <f t="shared" si="20"/>
        <v>0</v>
      </c>
      <c r="AF33" s="426">
        <f t="shared" si="21"/>
        <v>0</v>
      </c>
      <c r="AG33" s="426">
        <f t="shared" si="22"/>
        <v>0</v>
      </c>
      <c r="AH33" s="426">
        <f t="shared" si="23"/>
        <v>0</v>
      </c>
      <c r="AI33" s="426">
        <f t="shared" si="24"/>
        <v>0</v>
      </c>
      <c r="AJ33" s="426">
        <f t="shared" si="25"/>
        <v>0</v>
      </c>
      <c r="AK33" s="426">
        <f t="shared" si="26"/>
        <v>322248</v>
      </c>
      <c r="AL33" s="426">
        <f t="shared" si="27"/>
        <v>0</v>
      </c>
      <c r="AM33" s="426">
        <f t="shared" si="28"/>
        <v>0</v>
      </c>
      <c r="AN33" s="426">
        <f t="shared" si="29"/>
        <v>0</v>
      </c>
      <c r="AO33" s="426">
        <f t="shared" si="30"/>
        <v>0</v>
      </c>
      <c r="AP33" s="426">
        <f t="shared" si="31"/>
        <v>0</v>
      </c>
      <c r="AQ33" s="426">
        <f t="shared" si="32"/>
        <v>0</v>
      </c>
      <c r="AR33" s="426">
        <f t="shared" si="33"/>
        <v>0</v>
      </c>
      <c r="AS33" s="426">
        <f t="shared" si="34"/>
        <v>0</v>
      </c>
      <c r="AT33" s="426">
        <f t="shared" si="35"/>
        <v>0</v>
      </c>
      <c r="AU33" s="426">
        <f t="shared" si="36"/>
        <v>0</v>
      </c>
      <c r="AV33" s="426">
        <f t="shared" si="37"/>
        <v>0</v>
      </c>
      <c r="AW33" s="426">
        <f t="shared" si="38"/>
        <v>0</v>
      </c>
    </row>
    <row r="34" spans="1:49" s="421" customFormat="1" ht="12" customHeight="1">
      <c r="A34" s="73">
        <f t="array" ref="A34">IF(C34&lt;&gt;0,SUM(($C$11:C34&lt;&gt;0)*1),"")</f>
        <v>24</v>
      </c>
      <c r="B34" s="422">
        <v>41942</v>
      </c>
      <c r="C34" s="316" t="s">
        <v>8</v>
      </c>
      <c r="D34" s="316">
        <v>41942</v>
      </c>
      <c r="E34" s="423" t="s">
        <v>343</v>
      </c>
      <c r="F34" s="75">
        <v>49000000</v>
      </c>
      <c r="G34" s="425" t="s">
        <v>9</v>
      </c>
      <c r="H34" s="425" t="s">
        <v>34</v>
      </c>
      <c r="I34" s="73">
        <f t="shared" si="0"/>
        <v>24</v>
      </c>
      <c r="J34" s="426">
        <f t="shared" si="1"/>
        <v>0</v>
      </c>
      <c r="K34" s="426">
        <f t="shared" si="2"/>
        <v>0</v>
      </c>
      <c r="L34" s="426">
        <f t="shared" si="3"/>
        <v>0</v>
      </c>
      <c r="M34" s="426">
        <f t="shared" si="4"/>
        <v>49000000</v>
      </c>
      <c r="N34" s="426">
        <f t="shared" si="5"/>
        <v>0</v>
      </c>
      <c r="O34" s="426">
        <f t="shared" si="6"/>
        <v>0</v>
      </c>
      <c r="P34" s="426">
        <f t="shared" si="7"/>
        <v>0</v>
      </c>
      <c r="Q34" s="426">
        <f t="shared" si="8"/>
        <v>0</v>
      </c>
      <c r="R34" s="426">
        <f t="shared" si="39"/>
        <v>0</v>
      </c>
      <c r="S34" s="426">
        <f t="shared" si="40"/>
        <v>0</v>
      </c>
      <c r="T34" s="426">
        <f t="shared" si="9"/>
        <v>49000000</v>
      </c>
      <c r="U34" s="426">
        <f t="shared" si="10"/>
        <v>0</v>
      </c>
      <c r="V34" s="426">
        <f t="shared" si="11"/>
        <v>0</v>
      </c>
      <c r="W34" s="426">
        <f t="shared" si="12"/>
        <v>0</v>
      </c>
      <c r="X34" s="426">
        <f t="shared" si="13"/>
        <v>0</v>
      </c>
      <c r="Y34" s="426">
        <f t="shared" si="14"/>
        <v>0</v>
      </c>
      <c r="Z34" s="426">
        <f t="shared" si="15"/>
        <v>0</v>
      </c>
      <c r="AA34" s="426">
        <f t="shared" si="16"/>
        <v>0</v>
      </c>
      <c r="AB34" s="426">
        <f t="shared" si="17"/>
        <v>0</v>
      </c>
      <c r="AC34" s="426">
        <f t="shared" si="18"/>
        <v>0</v>
      </c>
      <c r="AD34" s="426">
        <f t="shared" si="19"/>
        <v>0</v>
      </c>
      <c r="AE34" s="426">
        <f t="shared" si="20"/>
        <v>0</v>
      </c>
      <c r="AF34" s="426">
        <f t="shared" si="21"/>
        <v>0</v>
      </c>
      <c r="AG34" s="426">
        <f t="shared" si="22"/>
        <v>0</v>
      </c>
      <c r="AH34" s="426">
        <f t="shared" si="23"/>
        <v>0</v>
      </c>
      <c r="AI34" s="426">
        <f t="shared" si="24"/>
        <v>0</v>
      </c>
      <c r="AJ34" s="426">
        <f t="shared" si="25"/>
        <v>0</v>
      </c>
      <c r="AK34" s="426">
        <f t="shared" si="26"/>
        <v>0</v>
      </c>
      <c r="AL34" s="426">
        <f t="shared" si="27"/>
        <v>0</v>
      </c>
      <c r="AM34" s="426">
        <f t="shared" si="28"/>
        <v>0</v>
      </c>
      <c r="AN34" s="426">
        <f t="shared" si="29"/>
        <v>0</v>
      </c>
      <c r="AO34" s="426">
        <f t="shared" si="30"/>
        <v>0</v>
      </c>
      <c r="AP34" s="426">
        <f t="shared" si="31"/>
        <v>0</v>
      </c>
      <c r="AQ34" s="426">
        <f t="shared" si="32"/>
        <v>0</v>
      </c>
      <c r="AR34" s="426">
        <f t="shared" si="33"/>
        <v>0</v>
      </c>
      <c r="AS34" s="426">
        <f t="shared" si="34"/>
        <v>0</v>
      </c>
      <c r="AT34" s="426">
        <f t="shared" si="35"/>
        <v>0</v>
      </c>
      <c r="AU34" s="426">
        <f t="shared" si="36"/>
        <v>0</v>
      </c>
      <c r="AV34" s="426">
        <f t="shared" si="37"/>
        <v>0</v>
      </c>
      <c r="AW34" s="426">
        <f t="shared" si="38"/>
        <v>0</v>
      </c>
    </row>
    <row r="35" spans="1:49" s="421" customFormat="1" ht="12" customHeight="1">
      <c r="A35" s="73">
        <f t="array" ref="A35">IF(C35&lt;&gt;0,SUM(($C$11:C35&lt;&gt;0)*1),"")</f>
        <v>25</v>
      </c>
      <c r="B35" s="422">
        <v>41942</v>
      </c>
      <c r="C35" s="316" t="s">
        <v>8</v>
      </c>
      <c r="D35" s="316">
        <v>41942</v>
      </c>
      <c r="E35" s="423" t="s">
        <v>21</v>
      </c>
      <c r="F35" s="75">
        <v>25000</v>
      </c>
      <c r="G35" s="425" t="s">
        <v>348</v>
      </c>
      <c r="H35" s="425" t="s">
        <v>34</v>
      </c>
      <c r="I35" s="73">
        <f t="shared" si="0"/>
        <v>25</v>
      </c>
      <c r="J35" s="426">
        <f t="shared" si="1"/>
        <v>0</v>
      </c>
      <c r="K35" s="426">
        <f t="shared" si="2"/>
        <v>0</v>
      </c>
      <c r="L35" s="426">
        <f t="shared" si="3"/>
        <v>0</v>
      </c>
      <c r="M35" s="426">
        <f t="shared" si="4"/>
        <v>25000</v>
      </c>
      <c r="N35" s="426">
        <f t="shared" si="5"/>
        <v>0</v>
      </c>
      <c r="O35" s="426">
        <f t="shared" si="6"/>
        <v>0</v>
      </c>
      <c r="P35" s="426">
        <f t="shared" si="7"/>
        <v>0</v>
      </c>
      <c r="Q35" s="426">
        <f t="shared" si="8"/>
        <v>0</v>
      </c>
      <c r="R35" s="426">
        <f t="shared" si="39"/>
        <v>0</v>
      </c>
      <c r="S35" s="426">
        <f t="shared" si="40"/>
        <v>0</v>
      </c>
      <c r="T35" s="426">
        <f t="shared" si="9"/>
        <v>0</v>
      </c>
      <c r="U35" s="426">
        <f t="shared" si="10"/>
        <v>0</v>
      </c>
      <c r="V35" s="426">
        <f t="shared" si="11"/>
        <v>0</v>
      </c>
      <c r="W35" s="426">
        <f t="shared" si="12"/>
        <v>0</v>
      </c>
      <c r="X35" s="426">
        <f t="shared" si="13"/>
        <v>0</v>
      </c>
      <c r="Y35" s="426">
        <f t="shared" si="14"/>
        <v>0</v>
      </c>
      <c r="Z35" s="426">
        <f t="shared" si="15"/>
        <v>0</v>
      </c>
      <c r="AA35" s="426">
        <f t="shared" si="16"/>
        <v>0</v>
      </c>
      <c r="AB35" s="426">
        <f t="shared" si="17"/>
        <v>0</v>
      </c>
      <c r="AC35" s="426">
        <f t="shared" si="18"/>
        <v>0</v>
      </c>
      <c r="AD35" s="426">
        <f t="shared" si="19"/>
        <v>0</v>
      </c>
      <c r="AE35" s="426">
        <f t="shared" si="20"/>
        <v>0</v>
      </c>
      <c r="AF35" s="426">
        <f t="shared" si="21"/>
        <v>0</v>
      </c>
      <c r="AG35" s="426">
        <f t="shared" si="22"/>
        <v>0</v>
      </c>
      <c r="AH35" s="426">
        <f t="shared" si="23"/>
        <v>0</v>
      </c>
      <c r="AI35" s="426">
        <f t="shared" si="24"/>
        <v>0</v>
      </c>
      <c r="AJ35" s="426">
        <f t="shared" si="25"/>
        <v>0</v>
      </c>
      <c r="AK35" s="426">
        <f t="shared" si="26"/>
        <v>0</v>
      </c>
      <c r="AL35" s="426">
        <f t="shared" si="27"/>
        <v>0</v>
      </c>
      <c r="AM35" s="426">
        <f t="shared" si="28"/>
        <v>0</v>
      </c>
      <c r="AN35" s="426">
        <f t="shared" si="29"/>
        <v>0</v>
      </c>
      <c r="AO35" s="426">
        <f t="shared" si="30"/>
        <v>0</v>
      </c>
      <c r="AP35" s="426">
        <f t="shared" si="31"/>
        <v>0</v>
      </c>
      <c r="AQ35" s="426">
        <f t="shared" si="32"/>
        <v>0</v>
      </c>
      <c r="AR35" s="426">
        <f t="shared" si="33"/>
        <v>0</v>
      </c>
      <c r="AS35" s="426">
        <f t="shared" si="34"/>
        <v>0</v>
      </c>
      <c r="AT35" s="426">
        <f t="shared" si="35"/>
        <v>0</v>
      </c>
      <c r="AU35" s="426">
        <f t="shared" si="36"/>
        <v>0</v>
      </c>
      <c r="AV35" s="426">
        <f t="shared" si="37"/>
        <v>0</v>
      </c>
      <c r="AW35" s="426">
        <f t="shared" si="38"/>
        <v>0</v>
      </c>
    </row>
    <row r="36" spans="1:49" s="421" customFormat="1" ht="12" customHeight="1">
      <c r="A36" s="73">
        <f t="array" ref="A36">IF(C36&lt;&gt;0,SUM(($C$11:C36&lt;&gt;0)*1),"")</f>
        <v>26</v>
      </c>
      <c r="B36" s="422">
        <v>41942</v>
      </c>
      <c r="C36" s="316" t="s">
        <v>8</v>
      </c>
      <c r="D36" s="316">
        <v>41942</v>
      </c>
      <c r="E36" s="423" t="s">
        <v>335</v>
      </c>
      <c r="F36" s="75">
        <v>2500</v>
      </c>
      <c r="G36" s="425" t="s">
        <v>10</v>
      </c>
      <c r="H36" s="425" t="s">
        <v>34</v>
      </c>
      <c r="I36" s="73">
        <f t="shared" si="0"/>
        <v>26</v>
      </c>
      <c r="J36" s="426">
        <f t="shared" si="1"/>
        <v>0</v>
      </c>
      <c r="K36" s="426">
        <f t="shared" si="2"/>
        <v>0</v>
      </c>
      <c r="L36" s="426">
        <f t="shared" si="3"/>
        <v>0</v>
      </c>
      <c r="M36" s="426">
        <f t="shared" si="4"/>
        <v>2500</v>
      </c>
      <c r="N36" s="426">
        <f t="shared" si="5"/>
        <v>2500</v>
      </c>
      <c r="O36" s="426">
        <f t="shared" si="6"/>
        <v>0</v>
      </c>
      <c r="P36" s="426">
        <f t="shared" si="7"/>
        <v>0</v>
      </c>
      <c r="Q36" s="426">
        <f t="shared" si="8"/>
        <v>0</v>
      </c>
      <c r="R36" s="426">
        <f t="shared" si="39"/>
        <v>0</v>
      </c>
      <c r="S36" s="426">
        <f t="shared" si="40"/>
        <v>0</v>
      </c>
      <c r="T36" s="426">
        <f t="shared" si="9"/>
        <v>0</v>
      </c>
      <c r="U36" s="426">
        <f t="shared" si="10"/>
        <v>0</v>
      </c>
      <c r="V36" s="426">
        <f t="shared" si="11"/>
        <v>0</v>
      </c>
      <c r="W36" s="426">
        <f t="shared" si="12"/>
        <v>0</v>
      </c>
      <c r="X36" s="426">
        <f t="shared" si="13"/>
        <v>0</v>
      </c>
      <c r="Y36" s="426">
        <f t="shared" si="14"/>
        <v>0</v>
      </c>
      <c r="Z36" s="426">
        <f t="shared" si="15"/>
        <v>0</v>
      </c>
      <c r="AA36" s="426">
        <f t="shared" si="16"/>
        <v>0</v>
      </c>
      <c r="AB36" s="426">
        <f t="shared" si="17"/>
        <v>0</v>
      </c>
      <c r="AC36" s="426">
        <f t="shared" si="18"/>
        <v>0</v>
      </c>
      <c r="AD36" s="426">
        <f t="shared" si="19"/>
        <v>0</v>
      </c>
      <c r="AE36" s="426">
        <f t="shared" si="20"/>
        <v>0</v>
      </c>
      <c r="AF36" s="426">
        <f t="shared" si="21"/>
        <v>0</v>
      </c>
      <c r="AG36" s="426">
        <f t="shared" si="22"/>
        <v>0</v>
      </c>
      <c r="AH36" s="426">
        <f t="shared" si="23"/>
        <v>0</v>
      </c>
      <c r="AI36" s="426">
        <f t="shared" si="24"/>
        <v>0</v>
      </c>
      <c r="AJ36" s="426">
        <f t="shared" si="25"/>
        <v>0</v>
      </c>
      <c r="AK36" s="426">
        <f t="shared" si="26"/>
        <v>0</v>
      </c>
      <c r="AL36" s="426">
        <f t="shared" si="27"/>
        <v>0</v>
      </c>
      <c r="AM36" s="426">
        <f t="shared" si="28"/>
        <v>0</v>
      </c>
      <c r="AN36" s="426">
        <f t="shared" si="29"/>
        <v>0</v>
      </c>
      <c r="AO36" s="426">
        <f t="shared" si="30"/>
        <v>0</v>
      </c>
      <c r="AP36" s="426">
        <f t="shared" si="31"/>
        <v>0</v>
      </c>
      <c r="AQ36" s="426">
        <f t="shared" si="32"/>
        <v>0</v>
      </c>
      <c r="AR36" s="426">
        <f t="shared" si="33"/>
        <v>0</v>
      </c>
      <c r="AS36" s="426">
        <f t="shared" si="34"/>
        <v>0</v>
      </c>
      <c r="AT36" s="426">
        <f t="shared" si="35"/>
        <v>0</v>
      </c>
      <c r="AU36" s="426">
        <f t="shared" si="36"/>
        <v>0</v>
      </c>
      <c r="AV36" s="426">
        <f t="shared" si="37"/>
        <v>0</v>
      </c>
      <c r="AW36" s="426">
        <f t="shared" si="38"/>
        <v>0</v>
      </c>
    </row>
    <row r="37" spans="1:49" s="421" customFormat="1" ht="12" customHeight="1">
      <c r="A37" s="73">
        <f t="array" ref="A37">IF(C37&lt;&gt;0,SUM(($C$11:C37&lt;&gt;0)*1),"")</f>
        <v>27</v>
      </c>
      <c r="B37" s="422">
        <v>41942</v>
      </c>
      <c r="C37" s="316" t="s">
        <v>8</v>
      </c>
      <c r="D37" s="316">
        <v>41942</v>
      </c>
      <c r="E37" s="423" t="s">
        <v>386</v>
      </c>
      <c r="F37" s="75">
        <v>30800005</v>
      </c>
      <c r="G37" s="425" t="s">
        <v>9</v>
      </c>
      <c r="H37" s="425" t="s">
        <v>34</v>
      </c>
      <c r="I37" s="73">
        <f t="shared" si="0"/>
        <v>27</v>
      </c>
      <c r="J37" s="426">
        <f t="shared" si="1"/>
        <v>0</v>
      </c>
      <c r="K37" s="426">
        <f t="shared" si="2"/>
        <v>0</v>
      </c>
      <c r="L37" s="426">
        <f t="shared" si="3"/>
        <v>0</v>
      </c>
      <c r="M37" s="426">
        <f t="shared" si="4"/>
        <v>30800005</v>
      </c>
      <c r="N37" s="426">
        <f t="shared" si="5"/>
        <v>0</v>
      </c>
      <c r="O37" s="426">
        <f t="shared" si="6"/>
        <v>0</v>
      </c>
      <c r="P37" s="426">
        <f t="shared" si="7"/>
        <v>0</v>
      </c>
      <c r="Q37" s="426">
        <f t="shared" si="8"/>
        <v>0</v>
      </c>
      <c r="R37" s="426">
        <f t="shared" si="39"/>
        <v>0</v>
      </c>
      <c r="S37" s="426">
        <f t="shared" si="40"/>
        <v>0</v>
      </c>
      <c r="T37" s="426">
        <f t="shared" si="9"/>
        <v>30800005</v>
      </c>
      <c r="U37" s="426">
        <f t="shared" si="10"/>
        <v>0</v>
      </c>
      <c r="V37" s="426">
        <f t="shared" si="11"/>
        <v>0</v>
      </c>
      <c r="W37" s="426">
        <f t="shared" si="12"/>
        <v>0</v>
      </c>
      <c r="X37" s="426">
        <f t="shared" si="13"/>
        <v>0</v>
      </c>
      <c r="Y37" s="426">
        <f t="shared" si="14"/>
        <v>0</v>
      </c>
      <c r="Z37" s="426">
        <f t="shared" si="15"/>
        <v>0</v>
      </c>
      <c r="AA37" s="426">
        <f t="shared" si="16"/>
        <v>0</v>
      </c>
      <c r="AB37" s="426">
        <f t="shared" si="17"/>
        <v>0</v>
      </c>
      <c r="AC37" s="426">
        <f t="shared" si="18"/>
        <v>0</v>
      </c>
      <c r="AD37" s="426">
        <f t="shared" si="19"/>
        <v>0</v>
      </c>
      <c r="AE37" s="426">
        <f t="shared" si="20"/>
        <v>0</v>
      </c>
      <c r="AF37" s="426">
        <f t="shared" si="21"/>
        <v>0</v>
      </c>
      <c r="AG37" s="426">
        <f t="shared" si="22"/>
        <v>0</v>
      </c>
      <c r="AH37" s="426">
        <f t="shared" si="23"/>
        <v>0</v>
      </c>
      <c r="AI37" s="426">
        <f t="shared" si="24"/>
        <v>0</v>
      </c>
      <c r="AJ37" s="426">
        <f t="shared" si="25"/>
        <v>0</v>
      </c>
      <c r="AK37" s="426">
        <f t="shared" si="26"/>
        <v>0</v>
      </c>
      <c r="AL37" s="426">
        <f t="shared" si="27"/>
        <v>0</v>
      </c>
      <c r="AM37" s="426">
        <f t="shared" si="28"/>
        <v>0</v>
      </c>
      <c r="AN37" s="426">
        <f t="shared" si="29"/>
        <v>0</v>
      </c>
      <c r="AO37" s="426">
        <f t="shared" si="30"/>
        <v>0</v>
      </c>
      <c r="AP37" s="426">
        <f t="shared" si="31"/>
        <v>0</v>
      </c>
      <c r="AQ37" s="426">
        <f t="shared" si="32"/>
        <v>0</v>
      </c>
      <c r="AR37" s="426">
        <f t="shared" si="33"/>
        <v>0</v>
      </c>
      <c r="AS37" s="426">
        <f t="shared" si="34"/>
        <v>0</v>
      </c>
      <c r="AT37" s="426">
        <f t="shared" si="35"/>
        <v>0</v>
      </c>
      <c r="AU37" s="426">
        <f t="shared" si="36"/>
        <v>0</v>
      </c>
      <c r="AV37" s="426">
        <f t="shared" si="37"/>
        <v>0</v>
      </c>
      <c r="AW37" s="426">
        <f t="shared" si="38"/>
        <v>0</v>
      </c>
    </row>
    <row r="38" spans="1:49" s="421" customFormat="1" ht="12" customHeight="1">
      <c r="A38" s="73">
        <f t="array" ref="A38">IF(C38&lt;&gt;0,SUM(($C$11:C38&lt;&gt;0)*1),"")</f>
        <v>28</v>
      </c>
      <c r="B38" s="422">
        <v>41942</v>
      </c>
      <c r="C38" s="316" t="s">
        <v>8</v>
      </c>
      <c r="D38" s="316">
        <v>41942</v>
      </c>
      <c r="E38" s="423" t="s">
        <v>21</v>
      </c>
      <c r="F38" s="75">
        <v>25000</v>
      </c>
      <c r="G38" s="425" t="s">
        <v>348</v>
      </c>
      <c r="H38" s="425" t="s">
        <v>34</v>
      </c>
      <c r="I38" s="73">
        <f t="shared" si="0"/>
        <v>28</v>
      </c>
      <c r="J38" s="426">
        <f t="shared" si="1"/>
        <v>0</v>
      </c>
      <c r="K38" s="426">
        <f t="shared" si="2"/>
        <v>0</v>
      </c>
      <c r="L38" s="426">
        <f t="shared" si="3"/>
        <v>0</v>
      </c>
      <c r="M38" s="426">
        <f t="shared" si="4"/>
        <v>25000</v>
      </c>
      <c r="N38" s="426">
        <f t="shared" si="5"/>
        <v>0</v>
      </c>
      <c r="O38" s="426">
        <f t="shared" si="6"/>
        <v>0</v>
      </c>
      <c r="P38" s="426">
        <f t="shared" si="7"/>
        <v>0</v>
      </c>
      <c r="Q38" s="426">
        <f t="shared" si="8"/>
        <v>0</v>
      </c>
      <c r="R38" s="426">
        <f t="shared" si="39"/>
        <v>0</v>
      </c>
      <c r="S38" s="426">
        <f t="shared" si="40"/>
        <v>0</v>
      </c>
      <c r="T38" s="426">
        <f t="shared" si="9"/>
        <v>0</v>
      </c>
      <c r="U38" s="426">
        <f t="shared" si="10"/>
        <v>0</v>
      </c>
      <c r="V38" s="426">
        <f t="shared" si="11"/>
        <v>0</v>
      </c>
      <c r="W38" s="426">
        <f t="shared" si="12"/>
        <v>0</v>
      </c>
      <c r="X38" s="426">
        <f t="shared" si="13"/>
        <v>0</v>
      </c>
      <c r="Y38" s="426">
        <f t="shared" si="14"/>
        <v>0</v>
      </c>
      <c r="Z38" s="426">
        <f t="shared" si="15"/>
        <v>0</v>
      </c>
      <c r="AA38" s="426">
        <f t="shared" si="16"/>
        <v>0</v>
      </c>
      <c r="AB38" s="426">
        <f t="shared" si="17"/>
        <v>0</v>
      </c>
      <c r="AC38" s="426">
        <f t="shared" si="18"/>
        <v>0</v>
      </c>
      <c r="AD38" s="426">
        <f t="shared" si="19"/>
        <v>0</v>
      </c>
      <c r="AE38" s="426">
        <f t="shared" si="20"/>
        <v>0</v>
      </c>
      <c r="AF38" s="426">
        <f t="shared" si="21"/>
        <v>0</v>
      </c>
      <c r="AG38" s="426">
        <f t="shared" si="22"/>
        <v>0</v>
      </c>
      <c r="AH38" s="426">
        <f t="shared" si="23"/>
        <v>0</v>
      </c>
      <c r="AI38" s="426">
        <f t="shared" si="24"/>
        <v>0</v>
      </c>
      <c r="AJ38" s="426">
        <f t="shared" si="25"/>
        <v>0</v>
      </c>
      <c r="AK38" s="426">
        <f t="shared" si="26"/>
        <v>0</v>
      </c>
      <c r="AL38" s="426">
        <f t="shared" si="27"/>
        <v>0</v>
      </c>
      <c r="AM38" s="426">
        <f t="shared" si="28"/>
        <v>0</v>
      </c>
      <c r="AN38" s="426">
        <f t="shared" si="29"/>
        <v>0</v>
      </c>
      <c r="AO38" s="426">
        <f t="shared" si="30"/>
        <v>0</v>
      </c>
      <c r="AP38" s="426">
        <f t="shared" si="31"/>
        <v>0</v>
      </c>
      <c r="AQ38" s="426">
        <f t="shared" si="32"/>
        <v>0</v>
      </c>
      <c r="AR38" s="426">
        <f t="shared" si="33"/>
        <v>0</v>
      </c>
      <c r="AS38" s="426">
        <f t="shared" si="34"/>
        <v>0</v>
      </c>
      <c r="AT38" s="426">
        <f t="shared" si="35"/>
        <v>0</v>
      </c>
      <c r="AU38" s="426">
        <f t="shared" si="36"/>
        <v>0</v>
      </c>
      <c r="AV38" s="426">
        <f t="shared" si="37"/>
        <v>0</v>
      </c>
      <c r="AW38" s="426">
        <f t="shared" si="38"/>
        <v>0</v>
      </c>
    </row>
    <row r="39" spans="1:49" s="421" customFormat="1" ht="12" customHeight="1">
      <c r="A39" s="73">
        <f t="array" ref="A39">IF(C39&lt;&gt;0,SUM(($C$11:C39&lt;&gt;0)*1),"")</f>
        <v>29</v>
      </c>
      <c r="B39" s="422">
        <v>41942</v>
      </c>
      <c r="C39" s="316" t="s">
        <v>8</v>
      </c>
      <c r="D39" s="316">
        <v>41942</v>
      </c>
      <c r="E39" s="423" t="s">
        <v>335</v>
      </c>
      <c r="F39" s="75">
        <v>2500</v>
      </c>
      <c r="G39" s="425" t="s">
        <v>10</v>
      </c>
      <c r="H39" s="425" t="s">
        <v>34</v>
      </c>
      <c r="I39" s="73">
        <f t="shared" si="0"/>
        <v>29</v>
      </c>
      <c r="J39" s="426">
        <f t="shared" si="1"/>
        <v>0</v>
      </c>
      <c r="K39" s="426">
        <f t="shared" si="2"/>
        <v>0</v>
      </c>
      <c r="L39" s="426">
        <f t="shared" si="3"/>
        <v>0</v>
      </c>
      <c r="M39" s="426">
        <f t="shared" si="4"/>
        <v>2500</v>
      </c>
      <c r="N39" s="426">
        <f t="shared" si="5"/>
        <v>2500</v>
      </c>
      <c r="O39" s="426">
        <f t="shared" si="6"/>
        <v>0</v>
      </c>
      <c r="P39" s="426">
        <f t="shared" si="7"/>
        <v>0</v>
      </c>
      <c r="Q39" s="426">
        <f t="shared" si="8"/>
        <v>0</v>
      </c>
      <c r="R39" s="426">
        <f t="shared" si="39"/>
        <v>0</v>
      </c>
      <c r="S39" s="426">
        <f t="shared" si="40"/>
        <v>0</v>
      </c>
      <c r="T39" s="426">
        <f t="shared" si="9"/>
        <v>0</v>
      </c>
      <c r="U39" s="426">
        <f t="shared" si="10"/>
        <v>0</v>
      </c>
      <c r="V39" s="426">
        <f t="shared" si="11"/>
        <v>0</v>
      </c>
      <c r="W39" s="426">
        <f t="shared" si="12"/>
        <v>0</v>
      </c>
      <c r="X39" s="426">
        <f t="shared" si="13"/>
        <v>0</v>
      </c>
      <c r="Y39" s="426">
        <f t="shared" si="14"/>
        <v>0</v>
      </c>
      <c r="Z39" s="426">
        <f t="shared" si="15"/>
        <v>0</v>
      </c>
      <c r="AA39" s="426">
        <f t="shared" si="16"/>
        <v>0</v>
      </c>
      <c r="AB39" s="426">
        <f t="shared" si="17"/>
        <v>0</v>
      </c>
      <c r="AC39" s="426">
        <f t="shared" si="18"/>
        <v>0</v>
      </c>
      <c r="AD39" s="426">
        <f t="shared" si="19"/>
        <v>0</v>
      </c>
      <c r="AE39" s="426">
        <f t="shared" si="20"/>
        <v>0</v>
      </c>
      <c r="AF39" s="426">
        <f t="shared" si="21"/>
        <v>0</v>
      </c>
      <c r="AG39" s="426">
        <f t="shared" si="22"/>
        <v>0</v>
      </c>
      <c r="AH39" s="426">
        <f t="shared" si="23"/>
        <v>0</v>
      </c>
      <c r="AI39" s="426">
        <f t="shared" si="24"/>
        <v>0</v>
      </c>
      <c r="AJ39" s="426">
        <f t="shared" si="25"/>
        <v>0</v>
      </c>
      <c r="AK39" s="426">
        <f t="shared" si="26"/>
        <v>0</v>
      </c>
      <c r="AL39" s="426">
        <f t="shared" si="27"/>
        <v>0</v>
      </c>
      <c r="AM39" s="426">
        <f t="shared" si="28"/>
        <v>0</v>
      </c>
      <c r="AN39" s="426">
        <f t="shared" si="29"/>
        <v>0</v>
      </c>
      <c r="AO39" s="426">
        <f t="shared" si="30"/>
        <v>0</v>
      </c>
      <c r="AP39" s="426">
        <f t="shared" si="31"/>
        <v>0</v>
      </c>
      <c r="AQ39" s="426">
        <f t="shared" si="32"/>
        <v>0</v>
      </c>
      <c r="AR39" s="426">
        <f t="shared" si="33"/>
        <v>0</v>
      </c>
      <c r="AS39" s="426">
        <f t="shared" si="34"/>
        <v>0</v>
      </c>
      <c r="AT39" s="426">
        <f t="shared" si="35"/>
        <v>0</v>
      </c>
      <c r="AU39" s="426">
        <f t="shared" si="36"/>
        <v>0</v>
      </c>
      <c r="AV39" s="426">
        <f t="shared" si="37"/>
        <v>0</v>
      </c>
      <c r="AW39" s="426">
        <f t="shared" si="38"/>
        <v>0</v>
      </c>
    </row>
    <row r="40" spans="1:49" s="421" customFormat="1" ht="12" customHeight="1">
      <c r="A40" s="73">
        <f t="array" ref="A40">IF(C40&lt;&gt;0,SUM(($C$11:C40&lt;&gt;0)*1),"")</f>
        <v>30</v>
      </c>
      <c r="B40" s="422">
        <v>41942</v>
      </c>
      <c r="C40" s="316" t="s">
        <v>8</v>
      </c>
      <c r="D40" s="316">
        <v>41942</v>
      </c>
      <c r="E40" s="423" t="s">
        <v>413</v>
      </c>
      <c r="F40" s="75">
        <v>500000000</v>
      </c>
      <c r="G40" s="425" t="s">
        <v>9</v>
      </c>
      <c r="H40" s="425" t="s">
        <v>34</v>
      </c>
      <c r="I40" s="73">
        <f t="shared" si="0"/>
        <v>30</v>
      </c>
      <c r="J40" s="426">
        <f t="shared" si="1"/>
        <v>0</v>
      </c>
      <c r="K40" s="426">
        <f t="shared" si="2"/>
        <v>0</v>
      </c>
      <c r="L40" s="426">
        <f t="shared" si="3"/>
        <v>0</v>
      </c>
      <c r="M40" s="426">
        <f t="shared" si="4"/>
        <v>500000000</v>
      </c>
      <c r="N40" s="426">
        <f t="shared" si="5"/>
        <v>0</v>
      </c>
      <c r="O40" s="426">
        <f t="shared" si="6"/>
        <v>0</v>
      </c>
      <c r="P40" s="426">
        <f t="shared" si="7"/>
        <v>0</v>
      </c>
      <c r="Q40" s="426">
        <f t="shared" si="8"/>
        <v>0</v>
      </c>
      <c r="R40" s="426">
        <f t="shared" si="39"/>
        <v>0</v>
      </c>
      <c r="S40" s="426">
        <f t="shared" si="40"/>
        <v>0</v>
      </c>
      <c r="T40" s="426">
        <f t="shared" si="9"/>
        <v>500000000</v>
      </c>
      <c r="U40" s="426">
        <f t="shared" si="10"/>
        <v>0</v>
      </c>
      <c r="V40" s="426">
        <f t="shared" si="11"/>
        <v>0</v>
      </c>
      <c r="W40" s="426">
        <f t="shared" si="12"/>
        <v>0</v>
      </c>
      <c r="X40" s="426">
        <f t="shared" si="13"/>
        <v>0</v>
      </c>
      <c r="Y40" s="426">
        <f t="shared" si="14"/>
        <v>0</v>
      </c>
      <c r="Z40" s="426">
        <f t="shared" si="15"/>
        <v>0</v>
      </c>
      <c r="AA40" s="426">
        <f t="shared" si="16"/>
        <v>0</v>
      </c>
      <c r="AB40" s="426">
        <f t="shared" si="17"/>
        <v>0</v>
      </c>
      <c r="AC40" s="426">
        <f t="shared" si="18"/>
        <v>0</v>
      </c>
      <c r="AD40" s="426">
        <f t="shared" si="19"/>
        <v>0</v>
      </c>
      <c r="AE40" s="426">
        <f t="shared" si="20"/>
        <v>0</v>
      </c>
      <c r="AF40" s="426">
        <f t="shared" si="21"/>
        <v>0</v>
      </c>
      <c r="AG40" s="426">
        <f t="shared" si="22"/>
        <v>0</v>
      </c>
      <c r="AH40" s="426">
        <f t="shared" si="23"/>
        <v>0</v>
      </c>
      <c r="AI40" s="426">
        <f t="shared" si="24"/>
        <v>0</v>
      </c>
      <c r="AJ40" s="426">
        <f t="shared" si="25"/>
        <v>0</v>
      </c>
      <c r="AK40" s="426">
        <f t="shared" si="26"/>
        <v>0</v>
      </c>
      <c r="AL40" s="426">
        <f t="shared" si="27"/>
        <v>0</v>
      </c>
      <c r="AM40" s="426">
        <f t="shared" si="28"/>
        <v>0</v>
      </c>
      <c r="AN40" s="426">
        <f t="shared" si="29"/>
        <v>0</v>
      </c>
      <c r="AO40" s="426">
        <f t="shared" si="30"/>
        <v>0</v>
      </c>
      <c r="AP40" s="426">
        <f t="shared" si="31"/>
        <v>0</v>
      </c>
      <c r="AQ40" s="426">
        <f t="shared" si="32"/>
        <v>0</v>
      </c>
      <c r="AR40" s="426">
        <f t="shared" si="33"/>
        <v>0</v>
      </c>
      <c r="AS40" s="426">
        <f t="shared" si="34"/>
        <v>0</v>
      </c>
      <c r="AT40" s="426">
        <f t="shared" si="35"/>
        <v>0</v>
      </c>
      <c r="AU40" s="426">
        <f t="shared" si="36"/>
        <v>0</v>
      </c>
      <c r="AV40" s="426">
        <f t="shared" si="37"/>
        <v>0</v>
      </c>
      <c r="AW40" s="426">
        <f t="shared" si="38"/>
        <v>0</v>
      </c>
    </row>
    <row r="41" spans="1:49" s="421" customFormat="1" ht="12" customHeight="1">
      <c r="A41" s="73">
        <f t="array" ref="A41">IF(C41&lt;&gt;0,SUM(($C$11:C41&lt;&gt;0)*1),"")</f>
        <v>31</v>
      </c>
      <c r="B41" s="422">
        <v>41942</v>
      </c>
      <c r="C41" s="316" t="s">
        <v>8</v>
      </c>
      <c r="D41" s="316">
        <v>41942</v>
      </c>
      <c r="E41" s="423" t="s">
        <v>21</v>
      </c>
      <c r="F41" s="75">
        <v>150000</v>
      </c>
      <c r="G41" s="425" t="s">
        <v>348</v>
      </c>
      <c r="H41" s="425" t="s">
        <v>34</v>
      </c>
      <c r="I41" s="73">
        <f t="shared" si="0"/>
        <v>31</v>
      </c>
      <c r="J41" s="426">
        <f t="shared" si="1"/>
        <v>0</v>
      </c>
      <c r="K41" s="426">
        <f t="shared" si="2"/>
        <v>0</v>
      </c>
      <c r="L41" s="426">
        <f t="shared" si="3"/>
        <v>0</v>
      </c>
      <c r="M41" s="426">
        <f t="shared" si="4"/>
        <v>150000</v>
      </c>
      <c r="N41" s="426">
        <f t="shared" si="5"/>
        <v>0</v>
      </c>
      <c r="O41" s="426">
        <f t="shared" si="6"/>
        <v>0</v>
      </c>
      <c r="P41" s="426">
        <f t="shared" si="7"/>
        <v>0</v>
      </c>
      <c r="Q41" s="426">
        <f t="shared" si="8"/>
        <v>0</v>
      </c>
      <c r="R41" s="426">
        <f t="shared" si="39"/>
        <v>0</v>
      </c>
      <c r="S41" s="426">
        <f t="shared" si="40"/>
        <v>0</v>
      </c>
      <c r="T41" s="426">
        <f t="shared" si="9"/>
        <v>0</v>
      </c>
      <c r="U41" s="426">
        <f t="shared" si="10"/>
        <v>0</v>
      </c>
      <c r="V41" s="426">
        <f t="shared" si="11"/>
        <v>0</v>
      </c>
      <c r="W41" s="426">
        <f t="shared" si="12"/>
        <v>0</v>
      </c>
      <c r="X41" s="426">
        <f t="shared" si="13"/>
        <v>0</v>
      </c>
      <c r="Y41" s="426">
        <f t="shared" si="14"/>
        <v>0</v>
      </c>
      <c r="Z41" s="426">
        <f t="shared" si="15"/>
        <v>0</v>
      </c>
      <c r="AA41" s="426">
        <f t="shared" si="16"/>
        <v>0</v>
      </c>
      <c r="AB41" s="426">
        <f t="shared" si="17"/>
        <v>0</v>
      </c>
      <c r="AC41" s="426">
        <f t="shared" si="18"/>
        <v>0</v>
      </c>
      <c r="AD41" s="426">
        <f t="shared" si="19"/>
        <v>0</v>
      </c>
      <c r="AE41" s="426">
        <f t="shared" si="20"/>
        <v>0</v>
      </c>
      <c r="AF41" s="426">
        <f t="shared" si="21"/>
        <v>0</v>
      </c>
      <c r="AG41" s="426">
        <f t="shared" si="22"/>
        <v>0</v>
      </c>
      <c r="AH41" s="426">
        <f t="shared" si="23"/>
        <v>0</v>
      </c>
      <c r="AI41" s="426">
        <f t="shared" si="24"/>
        <v>0</v>
      </c>
      <c r="AJ41" s="426">
        <f t="shared" si="25"/>
        <v>0</v>
      </c>
      <c r="AK41" s="426">
        <f t="shared" si="26"/>
        <v>0</v>
      </c>
      <c r="AL41" s="426">
        <f t="shared" si="27"/>
        <v>0</v>
      </c>
      <c r="AM41" s="426">
        <f t="shared" si="28"/>
        <v>0</v>
      </c>
      <c r="AN41" s="426">
        <f t="shared" si="29"/>
        <v>0</v>
      </c>
      <c r="AO41" s="426">
        <f t="shared" si="30"/>
        <v>0</v>
      </c>
      <c r="AP41" s="426">
        <f t="shared" si="31"/>
        <v>0</v>
      </c>
      <c r="AQ41" s="426">
        <f t="shared" si="32"/>
        <v>0</v>
      </c>
      <c r="AR41" s="426">
        <f t="shared" si="33"/>
        <v>0</v>
      </c>
      <c r="AS41" s="426">
        <f t="shared" si="34"/>
        <v>0</v>
      </c>
      <c r="AT41" s="426">
        <f t="shared" si="35"/>
        <v>0</v>
      </c>
      <c r="AU41" s="426">
        <f t="shared" si="36"/>
        <v>0</v>
      </c>
      <c r="AV41" s="426">
        <f t="shared" si="37"/>
        <v>0</v>
      </c>
      <c r="AW41" s="426">
        <f t="shared" si="38"/>
        <v>0</v>
      </c>
    </row>
    <row r="42" spans="1:49" s="421" customFormat="1" ht="12" customHeight="1">
      <c r="A42" s="73">
        <f t="array" ref="A42">IF(C42&lt;&gt;0,SUM(($C$11:C42&lt;&gt;0)*1),"")</f>
        <v>32</v>
      </c>
      <c r="B42" s="422">
        <v>41942</v>
      </c>
      <c r="C42" s="316" t="s">
        <v>8</v>
      </c>
      <c r="D42" s="316">
        <v>41942</v>
      </c>
      <c r="E42" s="423" t="s">
        <v>335</v>
      </c>
      <c r="F42" s="75">
        <v>15000</v>
      </c>
      <c r="G42" s="425" t="s">
        <v>10</v>
      </c>
      <c r="H42" s="425" t="s">
        <v>34</v>
      </c>
      <c r="I42" s="73">
        <f t="shared" si="0"/>
        <v>32</v>
      </c>
      <c r="J42" s="426">
        <f t="shared" si="1"/>
        <v>0</v>
      </c>
      <c r="K42" s="426">
        <f t="shared" si="2"/>
        <v>0</v>
      </c>
      <c r="L42" s="426">
        <f t="shared" si="3"/>
        <v>0</v>
      </c>
      <c r="M42" s="426">
        <f t="shared" si="4"/>
        <v>15000</v>
      </c>
      <c r="N42" s="426">
        <f t="shared" si="5"/>
        <v>15000</v>
      </c>
      <c r="O42" s="426">
        <f t="shared" si="6"/>
        <v>0</v>
      </c>
      <c r="P42" s="426">
        <f t="shared" si="7"/>
        <v>0</v>
      </c>
      <c r="Q42" s="426">
        <f t="shared" si="8"/>
        <v>0</v>
      </c>
      <c r="R42" s="426">
        <f t="shared" si="39"/>
        <v>0</v>
      </c>
      <c r="S42" s="426">
        <f t="shared" si="40"/>
        <v>0</v>
      </c>
      <c r="T42" s="426">
        <f t="shared" si="9"/>
        <v>0</v>
      </c>
      <c r="U42" s="426">
        <f t="shared" si="10"/>
        <v>0</v>
      </c>
      <c r="V42" s="426">
        <f t="shared" si="11"/>
        <v>0</v>
      </c>
      <c r="W42" s="426">
        <f t="shared" si="12"/>
        <v>0</v>
      </c>
      <c r="X42" s="426">
        <f t="shared" si="13"/>
        <v>0</v>
      </c>
      <c r="Y42" s="426">
        <f t="shared" si="14"/>
        <v>0</v>
      </c>
      <c r="Z42" s="426">
        <f t="shared" si="15"/>
        <v>0</v>
      </c>
      <c r="AA42" s="426">
        <f t="shared" si="16"/>
        <v>0</v>
      </c>
      <c r="AB42" s="426">
        <f t="shared" si="17"/>
        <v>0</v>
      </c>
      <c r="AC42" s="426">
        <f t="shared" si="18"/>
        <v>0</v>
      </c>
      <c r="AD42" s="426">
        <f t="shared" si="19"/>
        <v>0</v>
      </c>
      <c r="AE42" s="426">
        <f t="shared" si="20"/>
        <v>0</v>
      </c>
      <c r="AF42" s="426">
        <f t="shared" si="21"/>
        <v>0</v>
      </c>
      <c r="AG42" s="426">
        <f t="shared" si="22"/>
        <v>0</v>
      </c>
      <c r="AH42" s="426">
        <f t="shared" si="23"/>
        <v>0</v>
      </c>
      <c r="AI42" s="426">
        <f t="shared" si="24"/>
        <v>0</v>
      </c>
      <c r="AJ42" s="426">
        <f t="shared" si="25"/>
        <v>0</v>
      </c>
      <c r="AK42" s="426">
        <f t="shared" si="26"/>
        <v>0</v>
      </c>
      <c r="AL42" s="426">
        <f t="shared" si="27"/>
        <v>0</v>
      </c>
      <c r="AM42" s="426">
        <f t="shared" si="28"/>
        <v>0</v>
      </c>
      <c r="AN42" s="426">
        <f t="shared" si="29"/>
        <v>0</v>
      </c>
      <c r="AO42" s="426">
        <f t="shared" si="30"/>
        <v>0</v>
      </c>
      <c r="AP42" s="426">
        <f t="shared" si="31"/>
        <v>0</v>
      </c>
      <c r="AQ42" s="426">
        <f t="shared" si="32"/>
        <v>0</v>
      </c>
      <c r="AR42" s="426">
        <f t="shared" si="33"/>
        <v>0</v>
      </c>
      <c r="AS42" s="426">
        <f t="shared" si="34"/>
        <v>0</v>
      </c>
      <c r="AT42" s="426">
        <f t="shared" si="35"/>
        <v>0</v>
      </c>
      <c r="AU42" s="426">
        <f t="shared" si="36"/>
        <v>0</v>
      </c>
      <c r="AV42" s="426">
        <f t="shared" si="37"/>
        <v>0</v>
      </c>
      <c r="AW42" s="426">
        <f t="shared" si="38"/>
        <v>0</v>
      </c>
    </row>
    <row r="43" spans="1:49" s="421" customFormat="1" ht="12" customHeight="1">
      <c r="A43" s="73">
        <f t="array" ref="A43">IF(C43&lt;&gt;0,SUM(($C$11:C43&lt;&gt;0)*1),"")</f>
        <v>33</v>
      </c>
      <c r="B43" s="422">
        <v>41943</v>
      </c>
      <c r="C43" s="316" t="s">
        <v>388</v>
      </c>
      <c r="D43" s="316">
        <v>41943</v>
      </c>
      <c r="E43" s="423" t="s">
        <v>421</v>
      </c>
      <c r="F43" s="75">
        <v>14842908</v>
      </c>
      <c r="G43" s="425" t="s">
        <v>248</v>
      </c>
      <c r="H43" s="425" t="s">
        <v>9</v>
      </c>
      <c r="I43" s="73">
        <f t="shared" si="0"/>
        <v>33</v>
      </c>
      <c r="J43" s="426">
        <f t="shared" si="1"/>
        <v>0</v>
      </c>
      <c r="K43" s="426">
        <f t="shared" si="2"/>
        <v>0</v>
      </c>
      <c r="L43" s="426">
        <f t="shared" si="3"/>
        <v>0</v>
      </c>
      <c r="M43" s="426">
        <f t="shared" si="4"/>
        <v>0</v>
      </c>
      <c r="N43" s="426">
        <f t="shared" si="5"/>
        <v>0</v>
      </c>
      <c r="O43" s="426">
        <f t="shared" si="6"/>
        <v>0</v>
      </c>
      <c r="P43" s="426">
        <f t="shared" si="7"/>
        <v>0</v>
      </c>
      <c r="Q43" s="426">
        <f t="shared" si="8"/>
        <v>0</v>
      </c>
      <c r="R43" s="426">
        <f t="shared" si="39"/>
        <v>14842908</v>
      </c>
      <c r="S43" s="426">
        <f t="shared" si="40"/>
        <v>0</v>
      </c>
      <c r="T43" s="426">
        <f t="shared" si="9"/>
        <v>0</v>
      </c>
      <c r="U43" s="426">
        <f t="shared" si="10"/>
        <v>14842908</v>
      </c>
      <c r="V43" s="426">
        <f t="shared" si="11"/>
        <v>0</v>
      </c>
      <c r="W43" s="426">
        <f t="shared" si="12"/>
        <v>0</v>
      </c>
      <c r="X43" s="426">
        <f t="shared" si="13"/>
        <v>0</v>
      </c>
      <c r="Y43" s="426">
        <f t="shared" si="14"/>
        <v>0</v>
      </c>
      <c r="Z43" s="426">
        <f t="shared" si="15"/>
        <v>0</v>
      </c>
      <c r="AA43" s="426">
        <f t="shared" si="16"/>
        <v>0</v>
      </c>
      <c r="AB43" s="426">
        <f t="shared" si="17"/>
        <v>0</v>
      </c>
      <c r="AC43" s="426">
        <f t="shared" si="18"/>
        <v>0</v>
      </c>
      <c r="AD43" s="426">
        <f t="shared" si="19"/>
        <v>0</v>
      </c>
      <c r="AE43" s="426">
        <f t="shared" si="20"/>
        <v>0</v>
      </c>
      <c r="AF43" s="426">
        <f t="shared" si="21"/>
        <v>0</v>
      </c>
      <c r="AG43" s="426">
        <f t="shared" si="22"/>
        <v>0</v>
      </c>
      <c r="AH43" s="426">
        <f t="shared" si="23"/>
        <v>0</v>
      </c>
      <c r="AI43" s="426">
        <f t="shared" si="24"/>
        <v>0</v>
      </c>
      <c r="AJ43" s="426">
        <f t="shared" si="25"/>
        <v>0</v>
      </c>
      <c r="AK43" s="426">
        <f t="shared" si="26"/>
        <v>0</v>
      </c>
      <c r="AL43" s="426">
        <f t="shared" si="27"/>
        <v>0</v>
      </c>
      <c r="AM43" s="426">
        <f t="shared" si="28"/>
        <v>0</v>
      </c>
      <c r="AN43" s="426">
        <f t="shared" si="29"/>
        <v>0</v>
      </c>
      <c r="AO43" s="426">
        <f t="shared" si="30"/>
        <v>0</v>
      </c>
      <c r="AP43" s="426">
        <f t="shared" si="31"/>
        <v>0</v>
      </c>
      <c r="AQ43" s="426">
        <f t="shared" si="32"/>
        <v>0</v>
      </c>
      <c r="AR43" s="426">
        <f t="shared" si="33"/>
        <v>0</v>
      </c>
      <c r="AS43" s="426">
        <f t="shared" si="34"/>
        <v>0</v>
      </c>
      <c r="AT43" s="426">
        <f t="shared" si="35"/>
        <v>0</v>
      </c>
      <c r="AU43" s="426">
        <f t="shared" si="36"/>
        <v>0</v>
      </c>
      <c r="AV43" s="426">
        <f t="shared" si="37"/>
        <v>0</v>
      </c>
      <c r="AW43" s="426">
        <f t="shared" si="38"/>
        <v>0</v>
      </c>
    </row>
    <row r="44" spans="1:49" s="421" customFormat="1" ht="12" customHeight="1">
      <c r="A44" s="73">
        <f t="array" ref="A44">IF(C44&lt;&gt;0,SUM(($C$11:C44&lt;&gt;0)*1),"")</f>
        <v>34</v>
      </c>
      <c r="B44" s="422">
        <v>41943</v>
      </c>
      <c r="C44" s="316" t="s">
        <v>388</v>
      </c>
      <c r="D44" s="316">
        <v>41943</v>
      </c>
      <c r="E44" s="423" t="s">
        <v>422</v>
      </c>
      <c r="F44" s="75">
        <v>1484291</v>
      </c>
      <c r="G44" s="425" t="s">
        <v>10</v>
      </c>
      <c r="H44" s="425" t="s">
        <v>9</v>
      </c>
      <c r="I44" s="73">
        <f t="shared" si="0"/>
        <v>34</v>
      </c>
      <c r="J44" s="426">
        <f t="shared" si="1"/>
        <v>0</v>
      </c>
      <c r="K44" s="426">
        <f t="shared" si="2"/>
        <v>0</v>
      </c>
      <c r="L44" s="426">
        <f t="shared" si="3"/>
        <v>0</v>
      </c>
      <c r="M44" s="426">
        <f t="shared" si="4"/>
        <v>0</v>
      </c>
      <c r="N44" s="426">
        <f t="shared" si="5"/>
        <v>1484291</v>
      </c>
      <c r="O44" s="426">
        <f t="shared" si="6"/>
        <v>0</v>
      </c>
      <c r="P44" s="426">
        <f t="shared" si="7"/>
        <v>0</v>
      </c>
      <c r="Q44" s="426">
        <f t="shared" si="8"/>
        <v>0</v>
      </c>
      <c r="R44" s="426">
        <f t="shared" si="39"/>
        <v>0</v>
      </c>
      <c r="S44" s="426">
        <f t="shared" si="40"/>
        <v>0</v>
      </c>
      <c r="T44" s="426">
        <f t="shared" si="9"/>
        <v>0</v>
      </c>
      <c r="U44" s="426">
        <f t="shared" si="10"/>
        <v>1484291</v>
      </c>
      <c r="V44" s="426">
        <f t="shared" si="11"/>
        <v>0</v>
      </c>
      <c r="W44" s="426">
        <f t="shared" si="12"/>
        <v>0</v>
      </c>
      <c r="X44" s="426">
        <f t="shared" si="13"/>
        <v>0</v>
      </c>
      <c r="Y44" s="426">
        <f t="shared" si="14"/>
        <v>0</v>
      </c>
      <c r="Z44" s="426">
        <f t="shared" si="15"/>
        <v>0</v>
      </c>
      <c r="AA44" s="426">
        <f t="shared" si="16"/>
        <v>0</v>
      </c>
      <c r="AB44" s="426">
        <f t="shared" si="17"/>
        <v>0</v>
      </c>
      <c r="AC44" s="426">
        <f t="shared" si="18"/>
        <v>0</v>
      </c>
      <c r="AD44" s="426">
        <f t="shared" si="19"/>
        <v>0</v>
      </c>
      <c r="AE44" s="426">
        <f t="shared" si="20"/>
        <v>0</v>
      </c>
      <c r="AF44" s="426">
        <f t="shared" si="21"/>
        <v>0</v>
      </c>
      <c r="AG44" s="426">
        <f t="shared" si="22"/>
        <v>0</v>
      </c>
      <c r="AH44" s="426">
        <f t="shared" si="23"/>
        <v>0</v>
      </c>
      <c r="AI44" s="426">
        <f t="shared" si="24"/>
        <v>0</v>
      </c>
      <c r="AJ44" s="426">
        <f t="shared" si="25"/>
        <v>0</v>
      </c>
      <c r="AK44" s="426">
        <f t="shared" si="26"/>
        <v>0</v>
      </c>
      <c r="AL44" s="426">
        <f t="shared" si="27"/>
        <v>0</v>
      </c>
      <c r="AM44" s="426">
        <f t="shared" si="28"/>
        <v>0</v>
      </c>
      <c r="AN44" s="426">
        <f t="shared" si="29"/>
        <v>0</v>
      </c>
      <c r="AO44" s="426">
        <f t="shared" si="30"/>
        <v>0</v>
      </c>
      <c r="AP44" s="426">
        <f t="shared" si="31"/>
        <v>0</v>
      </c>
      <c r="AQ44" s="426">
        <f t="shared" si="32"/>
        <v>0</v>
      </c>
      <c r="AR44" s="426">
        <f t="shared" si="33"/>
        <v>0</v>
      </c>
      <c r="AS44" s="426">
        <f t="shared" si="34"/>
        <v>0</v>
      </c>
      <c r="AT44" s="426">
        <f t="shared" si="35"/>
        <v>0</v>
      </c>
      <c r="AU44" s="426">
        <f t="shared" si="36"/>
        <v>0</v>
      </c>
      <c r="AV44" s="426">
        <f t="shared" si="37"/>
        <v>0</v>
      </c>
      <c r="AW44" s="426">
        <f t="shared" si="38"/>
        <v>0</v>
      </c>
    </row>
    <row r="45" spans="1:49" s="421" customFormat="1" ht="12" customHeight="1">
      <c r="A45" s="73">
        <f t="array" ref="A45">IF(C45&lt;&gt;0,SUM(($C$11:C45&lt;&gt;0)*1),"")</f>
        <v>35</v>
      </c>
      <c r="B45" s="422">
        <v>41949</v>
      </c>
      <c r="C45" s="316" t="s">
        <v>98</v>
      </c>
      <c r="D45" s="316">
        <v>41949</v>
      </c>
      <c r="E45" s="423" t="s">
        <v>423</v>
      </c>
      <c r="F45" s="75">
        <v>2160000</v>
      </c>
      <c r="G45" s="425" t="s">
        <v>348</v>
      </c>
      <c r="H45" s="425" t="s">
        <v>120</v>
      </c>
      <c r="I45" s="73">
        <f t="shared" si="0"/>
        <v>35</v>
      </c>
      <c r="J45" s="426">
        <f t="shared" si="1"/>
        <v>0</v>
      </c>
      <c r="K45" s="426">
        <f t="shared" si="2"/>
        <v>2160000</v>
      </c>
      <c r="L45" s="426">
        <f t="shared" si="3"/>
        <v>0</v>
      </c>
      <c r="M45" s="426">
        <f t="shared" si="4"/>
        <v>0</v>
      </c>
      <c r="N45" s="426">
        <f t="shared" si="5"/>
        <v>0</v>
      </c>
      <c r="O45" s="426">
        <f t="shared" si="6"/>
        <v>0</v>
      </c>
      <c r="P45" s="426">
        <f t="shared" si="7"/>
        <v>0</v>
      </c>
      <c r="Q45" s="426">
        <f t="shared" si="8"/>
        <v>0</v>
      </c>
      <c r="R45" s="426">
        <f t="shared" si="39"/>
        <v>0</v>
      </c>
      <c r="S45" s="426">
        <f t="shared" si="40"/>
        <v>0</v>
      </c>
      <c r="T45" s="426">
        <f t="shared" si="9"/>
        <v>0</v>
      </c>
      <c r="U45" s="426">
        <f t="shared" si="10"/>
        <v>0</v>
      </c>
      <c r="V45" s="426">
        <f t="shared" si="11"/>
        <v>0</v>
      </c>
      <c r="W45" s="426">
        <f t="shared" si="12"/>
        <v>0</v>
      </c>
      <c r="X45" s="426">
        <f t="shared" si="13"/>
        <v>0</v>
      </c>
      <c r="Y45" s="426">
        <f t="shared" si="14"/>
        <v>0</v>
      </c>
      <c r="Z45" s="426">
        <f t="shared" si="15"/>
        <v>0</v>
      </c>
      <c r="AA45" s="426">
        <f t="shared" si="16"/>
        <v>0</v>
      </c>
      <c r="AB45" s="426">
        <f t="shared" si="17"/>
        <v>0</v>
      </c>
      <c r="AC45" s="426">
        <f t="shared" si="18"/>
        <v>0</v>
      </c>
      <c r="AD45" s="426">
        <f t="shared" si="19"/>
        <v>0</v>
      </c>
      <c r="AE45" s="426">
        <f t="shared" si="20"/>
        <v>0</v>
      </c>
      <c r="AF45" s="426">
        <f t="shared" si="21"/>
        <v>0</v>
      </c>
      <c r="AG45" s="426">
        <f t="shared" si="22"/>
        <v>0</v>
      </c>
      <c r="AH45" s="426">
        <f t="shared" si="23"/>
        <v>0</v>
      </c>
      <c r="AI45" s="426">
        <f t="shared" si="24"/>
        <v>0</v>
      </c>
      <c r="AJ45" s="426">
        <f t="shared" si="25"/>
        <v>0</v>
      </c>
      <c r="AK45" s="426">
        <f t="shared" si="26"/>
        <v>0</v>
      </c>
      <c r="AL45" s="426">
        <f t="shared" si="27"/>
        <v>0</v>
      </c>
      <c r="AM45" s="426">
        <f t="shared" si="28"/>
        <v>0</v>
      </c>
      <c r="AN45" s="426">
        <f t="shared" si="29"/>
        <v>0</v>
      </c>
      <c r="AO45" s="426">
        <f t="shared" si="30"/>
        <v>0</v>
      </c>
      <c r="AP45" s="426">
        <f t="shared" si="31"/>
        <v>0</v>
      </c>
      <c r="AQ45" s="426">
        <f t="shared" si="32"/>
        <v>0</v>
      </c>
      <c r="AR45" s="426">
        <f t="shared" si="33"/>
        <v>0</v>
      </c>
      <c r="AS45" s="426">
        <f t="shared" si="34"/>
        <v>0</v>
      </c>
      <c r="AT45" s="426">
        <f t="shared" si="35"/>
        <v>0</v>
      </c>
      <c r="AU45" s="426">
        <f t="shared" si="36"/>
        <v>0</v>
      </c>
      <c r="AV45" s="426">
        <f t="shared" si="37"/>
        <v>0</v>
      </c>
      <c r="AW45" s="426">
        <f t="shared" si="38"/>
        <v>0</v>
      </c>
    </row>
    <row r="46" spans="1:49" s="421" customFormat="1" ht="12" customHeight="1">
      <c r="A46" s="73">
        <f t="array" ref="A46">IF(C46&lt;&gt;0,SUM(($C$11:C46&lt;&gt;0)*1),"")</f>
        <v>36</v>
      </c>
      <c r="B46" s="422">
        <v>41949</v>
      </c>
      <c r="C46" s="316" t="s">
        <v>98</v>
      </c>
      <c r="D46" s="316">
        <v>41949</v>
      </c>
      <c r="E46" s="423" t="s">
        <v>424</v>
      </c>
      <c r="F46" s="75">
        <v>216000</v>
      </c>
      <c r="G46" s="425" t="s">
        <v>10</v>
      </c>
      <c r="H46" s="425" t="s">
        <v>120</v>
      </c>
      <c r="I46" s="73">
        <f t="shared" si="0"/>
        <v>36</v>
      </c>
      <c r="J46" s="426">
        <f t="shared" si="1"/>
        <v>0</v>
      </c>
      <c r="K46" s="426">
        <f t="shared" si="2"/>
        <v>216000</v>
      </c>
      <c r="L46" s="426">
        <f t="shared" si="3"/>
        <v>0</v>
      </c>
      <c r="M46" s="426">
        <f t="shared" si="4"/>
        <v>0</v>
      </c>
      <c r="N46" s="426">
        <f t="shared" si="5"/>
        <v>216000</v>
      </c>
      <c r="O46" s="426">
        <f t="shared" si="6"/>
        <v>0</v>
      </c>
      <c r="P46" s="426">
        <f t="shared" si="7"/>
        <v>0</v>
      </c>
      <c r="Q46" s="426">
        <f t="shared" si="8"/>
        <v>0</v>
      </c>
      <c r="R46" s="426">
        <f t="shared" si="39"/>
        <v>0</v>
      </c>
      <c r="S46" s="426">
        <f t="shared" si="40"/>
        <v>0</v>
      </c>
      <c r="T46" s="426">
        <f t="shared" si="9"/>
        <v>0</v>
      </c>
      <c r="U46" s="426">
        <f t="shared" si="10"/>
        <v>0</v>
      </c>
      <c r="V46" s="426">
        <f t="shared" si="11"/>
        <v>0</v>
      </c>
      <c r="W46" s="426">
        <f t="shared" si="12"/>
        <v>0</v>
      </c>
      <c r="X46" s="426">
        <f t="shared" si="13"/>
        <v>0</v>
      </c>
      <c r="Y46" s="426">
        <f t="shared" si="14"/>
        <v>0</v>
      </c>
      <c r="Z46" s="426">
        <f t="shared" si="15"/>
        <v>0</v>
      </c>
      <c r="AA46" s="426">
        <f t="shared" si="16"/>
        <v>0</v>
      </c>
      <c r="AB46" s="426">
        <f t="shared" si="17"/>
        <v>0</v>
      </c>
      <c r="AC46" s="426">
        <f t="shared" si="18"/>
        <v>0</v>
      </c>
      <c r="AD46" s="426">
        <f t="shared" si="19"/>
        <v>0</v>
      </c>
      <c r="AE46" s="426">
        <f t="shared" si="20"/>
        <v>0</v>
      </c>
      <c r="AF46" s="426">
        <f t="shared" si="21"/>
        <v>0</v>
      </c>
      <c r="AG46" s="426">
        <f t="shared" si="22"/>
        <v>0</v>
      </c>
      <c r="AH46" s="426">
        <f t="shared" si="23"/>
        <v>0</v>
      </c>
      <c r="AI46" s="426">
        <f t="shared" si="24"/>
        <v>0</v>
      </c>
      <c r="AJ46" s="426">
        <f t="shared" si="25"/>
        <v>0</v>
      </c>
      <c r="AK46" s="426">
        <f t="shared" si="26"/>
        <v>0</v>
      </c>
      <c r="AL46" s="426">
        <f t="shared" si="27"/>
        <v>0</v>
      </c>
      <c r="AM46" s="426">
        <f t="shared" si="28"/>
        <v>0</v>
      </c>
      <c r="AN46" s="426">
        <f t="shared" si="29"/>
        <v>0</v>
      </c>
      <c r="AO46" s="426">
        <f t="shared" si="30"/>
        <v>0</v>
      </c>
      <c r="AP46" s="426">
        <f t="shared" si="31"/>
        <v>0</v>
      </c>
      <c r="AQ46" s="426">
        <f t="shared" si="32"/>
        <v>0</v>
      </c>
      <c r="AR46" s="426">
        <f t="shared" si="33"/>
        <v>0</v>
      </c>
      <c r="AS46" s="426">
        <f t="shared" si="34"/>
        <v>0</v>
      </c>
      <c r="AT46" s="426">
        <f t="shared" si="35"/>
        <v>0</v>
      </c>
      <c r="AU46" s="426">
        <f t="shared" si="36"/>
        <v>0</v>
      </c>
      <c r="AV46" s="426">
        <f t="shared" si="37"/>
        <v>0</v>
      </c>
      <c r="AW46" s="426">
        <f t="shared" si="38"/>
        <v>0</v>
      </c>
    </row>
    <row r="47" spans="1:49" s="421" customFormat="1" ht="12" customHeight="1">
      <c r="A47" s="73">
        <f t="array" ref="A47">IF(C47&lt;&gt;0,SUM(($C$11:C47&lt;&gt;0)*1),"")</f>
        <v>37</v>
      </c>
      <c r="B47" s="422">
        <v>41963</v>
      </c>
      <c r="C47" s="316" t="s">
        <v>11</v>
      </c>
      <c r="D47" s="316">
        <v>41963</v>
      </c>
      <c r="E47" s="423" t="s">
        <v>395</v>
      </c>
      <c r="F47" s="75">
        <v>1500000000</v>
      </c>
      <c r="G47" s="425" t="s">
        <v>34</v>
      </c>
      <c r="H47" s="425" t="s">
        <v>65</v>
      </c>
      <c r="I47" s="73">
        <f t="shared" si="0"/>
        <v>37</v>
      </c>
      <c r="J47" s="426">
        <f t="shared" si="1"/>
        <v>0</v>
      </c>
      <c r="K47" s="426">
        <f t="shared" si="2"/>
        <v>0</v>
      </c>
      <c r="L47" s="426">
        <f t="shared" si="3"/>
        <v>1500000000</v>
      </c>
      <c r="M47" s="426">
        <f t="shared" si="4"/>
        <v>0</v>
      </c>
      <c r="N47" s="426">
        <f t="shared" si="5"/>
        <v>0</v>
      </c>
      <c r="O47" s="426">
        <f t="shared" si="6"/>
        <v>0</v>
      </c>
      <c r="P47" s="426">
        <f t="shared" si="7"/>
        <v>0</v>
      </c>
      <c r="Q47" s="426">
        <f t="shared" si="8"/>
        <v>0</v>
      </c>
      <c r="R47" s="426">
        <f t="shared" si="39"/>
        <v>0</v>
      </c>
      <c r="S47" s="426">
        <f t="shared" si="40"/>
        <v>0</v>
      </c>
      <c r="T47" s="426">
        <f t="shared" si="9"/>
        <v>0</v>
      </c>
      <c r="U47" s="426">
        <f t="shared" si="10"/>
        <v>0</v>
      </c>
      <c r="V47" s="426">
        <f t="shared" si="11"/>
        <v>0</v>
      </c>
      <c r="W47" s="426">
        <f t="shared" si="12"/>
        <v>0</v>
      </c>
      <c r="X47" s="426">
        <f t="shared" si="13"/>
        <v>0</v>
      </c>
      <c r="Y47" s="426">
        <f t="shared" si="14"/>
        <v>0</v>
      </c>
      <c r="Z47" s="426">
        <f t="shared" si="15"/>
        <v>0</v>
      </c>
      <c r="AA47" s="426">
        <f t="shared" si="16"/>
        <v>0</v>
      </c>
      <c r="AB47" s="426">
        <f t="shared" si="17"/>
        <v>0</v>
      </c>
      <c r="AC47" s="426">
        <f t="shared" si="18"/>
        <v>0</v>
      </c>
      <c r="AD47" s="426">
        <f t="shared" si="19"/>
        <v>0</v>
      </c>
      <c r="AE47" s="426">
        <f t="shared" si="20"/>
        <v>0</v>
      </c>
      <c r="AF47" s="426">
        <f t="shared" si="21"/>
        <v>0</v>
      </c>
      <c r="AG47" s="426">
        <f t="shared" si="22"/>
        <v>0</v>
      </c>
      <c r="AH47" s="426">
        <f t="shared" si="23"/>
        <v>0</v>
      </c>
      <c r="AI47" s="426">
        <f t="shared" si="24"/>
        <v>0</v>
      </c>
      <c r="AJ47" s="426">
        <f t="shared" si="25"/>
        <v>0</v>
      </c>
      <c r="AK47" s="426">
        <f t="shared" si="26"/>
        <v>0</v>
      </c>
      <c r="AL47" s="426">
        <f t="shared" si="27"/>
        <v>0</v>
      </c>
      <c r="AM47" s="426">
        <f t="shared" si="28"/>
        <v>0</v>
      </c>
      <c r="AN47" s="426">
        <f t="shared" si="29"/>
        <v>0</v>
      </c>
      <c r="AO47" s="426">
        <f t="shared" si="30"/>
        <v>0</v>
      </c>
      <c r="AP47" s="426">
        <f t="shared" si="31"/>
        <v>0</v>
      </c>
      <c r="AQ47" s="426">
        <f t="shared" si="32"/>
        <v>0</v>
      </c>
      <c r="AR47" s="426">
        <f t="shared" si="33"/>
        <v>0</v>
      </c>
      <c r="AS47" s="426">
        <f t="shared" si="34"/>
        <v>0</v>
      </c>
      <c r="AT47" s="426">
        <f t="shared" si="35"/>
        <v>0</v>
      </c>
      <c r="AU47" s="426">
        <f t="shared" si="36"/>
        <v>0</v>
      </c>
      <c r="AV47" s="426">
        <f t="shared" si="37"/>
        <v>0</v>
      </c>
      <c r="AW47" s="426">
        <f t="shared" si="38"/>
        <v>0</v>
      </c>
    </row>
    <row r="48" spans="1:49" s="421" customFormat="1" ht="12" customHeight="1">
      <c r="A48" s="73">
        <f t="array" ref="A48">IF(C48&lt;&gt;0,SUM(($C$11:C48&lt;&gt;0)*1),"")</f>
        <v>38</v>
      </c>
      <c r="B48" s="422">
        <v>41963</v>
      </c>
      <c r="C48" s="316" t="s">
        <v>8</v>
      </c>
      <c r="D48" s="316">
        <v>41963</v>
      </c>
      <c r="E48" s="423" t="s">
        <v>372</v>
      </c>
      <c r="F48" s="75">
        <v>1000000000</v>
      </c>
      <c r="G48" s="425" t="s">
        <v>9</v>
      </c>
      <c r="H48" s="425" t="s">
        <v>34</v>
      </c>
      <c r="I48" s="73">
        <f t="shared" si="0"/>
        <v>38</v>
      </c>
      <c r="J48" s="426">
        <f t="shared" si="1"/>
        <v>0</v>
      </c>
      <c r="K48" s="426">
        <f t="shared" si="2"/>
        <v>0</v>
      </c>
      <c r="L48" s="426">
        <f t="shared" si="3"/>
        <v>0</v>
      </c>
      <c r="M48" s="426">
        <f t="shared" si="4"/>
        <v>1000000000</v>
      </c>
      <c r="N48" s="426">
        <f t="shared" si="5"/>
        <v>0</v>
      </c>
      <c r="O48" s="426">
        <f t="shared" si="6"/>
        <v>0</v>
      </c>
      <c r="P48" s="426">
        <f t="shared" si="7"/>
        <v>0</v>
      </c>
      <c r="Q48" s="426">
        <f t="shared" si="8"/>
        <v>0</v>
      </c>
      <c r="R48" s="426">
        <f t="shared" si="39"/>
        <v>0</v>
      </c>
      <c r="S48" s="426">
        <f t="shared" si="40"/>
        <v>0</v>
      </c>
      <c r="T48" s="426">
        <f t="shared" si="9"/>
        <v>1000000000</v>
      </c>
      <c r="U48" s="426">
        <f t="shared" si="10"/>
        <v>0</v>
      </c>
      <c r="V48" s="426">
        <f t="shared" si="11"/>
        <v>0</v>
      </c>
      <c r="W48" s="426">
        <f t="shared" si="12"/>
        <v>0</v>
      </c>
      <c r="X48" s="426">
        <f t="shared" si="13"/>
        <v>0</v>
      </c>
      <c r="Y48" s="426">
        <f t="shared" si="14"/>
        <v>0</v>
      </c>
      <c r="Z48" s="426">
        <f t="shared" si="15"/>
        <v>0</v>
      </c>
      <c r="AA48" s="426">
        <f t="shared" si="16"/>
        <v>0</v>
      </c>
      <c r="AB48" s="426">
        <f t="shared" si="17"/>
        <v>0</v>
      </c>
      <c r="AC48" s="426">
        <f t="shared" si="18"/>
        <v>0</v>
      </c>
      <c r="AD48" s="426">
        <f t="shared" si="19"/>
        <v>0</v>
      </c>
      <c r="AE48" s="426">
        <f t="shared" si="20"/>
        <v>0</v>
      </c>
      <c r="AF48" s="426">
        <f t="shared" si="21"/>
        <v>0</v>
      </c>
      <c r="AG48" s="426">
        <f t="shared" si="22"/>
        <v>0</v>
      </c>
      <c r="AH48" s="426">
        <f t="shared" si="23"/>
        <v>0</v>
      </c>
      <c r="AI48" s="426">
        <f t="shared" si="24"/>
        <v>0</v>
      </c>
      <c r="AJ48" s="426">
        <f t="shared" si="25"/>
        <v>0</v>
      </c>
      <c r="AK48" s="426">
        <f t="shared" si="26"/>
        <v>0</v>
      </c>
      <c r="AL48" s="426">
        <f t="shared" si="27"/>
        <v>0</v>
      </c>
      <c r="AM48" s="426">
        <f t="shared" si="28"/>
        <v>0</v>
      </c>
      <c r="AN48" s="426">
        <f t="shared" si="29"/>
        <v>0</v>
      </c>
      <c r="AO48" s="426">
        <f t="shared" si="30"/>
        <v>0</v>
      </c>
      <c r="AP48" s="426">
        <f t="shared" si="31"/>
        <v>0</v>
      </c>
      <c r="AQ48" s="426">
        <f t="shared" si="32"/>
        <v>0</v>
      </c>
      <c r="AR48" s="426">
        <f t="shared" si="33"/>
        <v>0</v>
      </c>
      <c r="AS48" s="426">
        <f t="shared" si="34"/>
        <v>0</v>
      </c>
      <c r="AT48" s="426">
        <f t="shared" si="35"/>
        <v>0</v>
      </c>
      <c r="AU48" s="426">
        <f t="shared" si="36"/>
        <v>0</v>
      </c>
      <c r="AV48" s="426">
        <f t="shared" si="37"/>
        <v>0</v>
      </c>
      <c r="AW48" s="426">
        <f t="shared" si="38"/>
        <v>0</v>
      </c>
    </row>
    <row r="49" spans="1:49" s="421" customFormat="1" ht="12.75" customHeight="1">
      <c r="A49" s="73">
        <f t="array" ref="A49">IF(C49&lt;&gt;0,SUM(($C$11:C49&lt;&gt;0)*1),"")</f>
        <v>39</v>
      </c>
      <c r="B49" s="422">
        <v>41963</v>
      </c>
      <c r="C49" s="316" t="s">
        <v>8</v>
      </c>
      <c r="D49" s="316">
        <v>41963</v>
      </c>
      <c r="E49" s="423" t="s">
        <v>21</v>
      </c>
      <c r="F49" s="75">
        <v>500000</v>
      </c>
      <c r="G49" s="425" t="s">
        <v>348</v>
      </c>
      <c r="H49" s="425" t="s">
        <v>34</v>
      </c>
      <c r="I49" s="73">
        <f t="shared" si="0"/>
        <v>39</v>
      </c>
      <c r="J49" s="426">
        <f t="shared" si="1"/>
        <v>0</v>
      </c>
      <c r="K49" s="426">
        <f t="shared" si="2"/>
        <v>0</v>
      </c>
      <c r="L49" s="426">
        <f t="shared" si="3"/>
        <v>0</v>
      </c>
      <c r="M49" s="426">
        <f t="shared" si="4"/>
        <v>500000</v>
      </c>
      <c r="N49" s="426">
        <f t="shared" si="5"/>
        <v>0</v>
      </c>
      <c r="O49" s="426">
        <f t="shared" si="6"/>
        <v>0</v>
      </c>
      <c r="P49" s="426">
        <f t="shared" si="7"/>
        <v>0</v>
      </c>
      <c r="Q49" s="426">
        <f t="shared" si="8"/>
        <v>0</v>
      </c>
      <c r="R49" s="426">
        <f t="shared" si="39"/>
        <v>0</v>
      </c>
      <c r="S49" s="426">
        <f t="shared" si="40"/>
        <v>0</v>
      </c>
      <c r="T49" s="426">
        <f t="shared" si="9"/>
        <v>0</v>
      </c>
      <c r="U49" s="426">
        <f t="shared" si="10"/>
        <v>0</v>
      </c>
      <c r="V49" s="426">
        <f t="shared" si="11"/>
        <v>0</v>
      </c>
      <c r="W49" s="426">
        <f t="shared" si="12"/>
        <v>0</v>
      </c>
      <c r="X49" s="426">
        <f t="shared" si="13"/>
        <v>0</v>
      </c>
      <c r="Y49" s="426">
        <f t="shared" si="14"/>
        <v>0</v>
      </c>
      <c r="Z49" s="426">
        <f t="shared" si="15"/>
        <v>0</v>
      </c>
      <c r="AA49" s="426">
        <f t="shared" si="16"/>
        <v>0</v>
      </c>
      <c r="AB49" s="426">
        <f t="shared" si="17"/>
        <v>0</v>
      </c>
      <c r="AC49" s="426">
        <f t="shared" si="18"/>
        <v>0</v>
      </c>
      <c r="AD49" s="426">
        <f t="shared" si="19"/>
        <v>0</v>
      </c>
      <c r="AE49" s="426">
        <f t="shared" si="20"/>
        <v>0</v>
      </c>
      <c r="AF49" s="426">
        <f t="shared" si="21"/>
        <v>0</v>
      </c>
      <c r="AG49" s="426">
        <f t="shared" si="22"/>
        <v>0</v>
      </c>
      <c r="AH49" s="426">
        <f t="shared" si="23"/>
        <v>0</v>
      </c>
      <c r="AI49" s="426">
        <f t="shared" si="24"/>
        <v>0</v>
      </c>
      <c r="AJ49" s="426">
        <f t="shared" si="25"/>
        <v>0</v>
      </c>
      <c r="AK49" s="426">
        <f t="shared" si="26"/>
        <v>0</v>
      </c>
      <c r="AL49" s="426">
        <f t="shared" si="27"/>
        <v>0</v>
      </c>
      <c r="AM49" s="426">
        <f t="shared" si="28"/>
        <v>0</v>
      </c>
      <c r="AN49" s="426">
        <f t="shared" si="29"/>
        <v>0</v>
      </c>
      <c r="AO49" s="426">
        <f t="shared" si="30"/>
        <v>0</v>
      </c>
      <c r="AP49" s="426">
        <f t="shared" si="31"/>
        <v>0</v>
      </c>
      <c r="AQ49" s="426">
        <f t="shared" si="32"/>
        <v>0</v>
      </c>
      <c r="AR49" s="426">
        <f t="shared" si="33"/>
        <v>0</v>
      </c>
      <c r="AS49" s="426">
        <f t="shared" si="34"/>
        <v>0</v>
      </c>
      <c r="AT49" s="426">
        <f t="shared" si="35"/>
        <v>0</v>
      </c>
      <c r="AU49" s="426">
        <f t="shared" si="36"/>
        <v>0</v>
      </c>
      <c r="AV49" s="426">
        <f t="shared" si="37"/>
        <v>0</v>
      </c>
      <c r="AW49" s="426">
        <f t="shared" si="38"/>
        <v>0</v>
      </c>
    </row>
    <row r="50" spans="1:49" s="421" customFormat="1" ht="12" customHeight="1">
      <c r="A50" s="73">
        <f t="array" ref="A50">IF(C50&lt;&gt;0,SUM(($C$11:C50&lt;&gt;0)*1),"")</f>
        <v>40</v>
      </c>
      <c r="B50" s="422">
        <v>41963</v>
      </c>
      <c r="C50" s="316" t="s">
        <v>8</v>
      </c>
      <c r="D50" s="316">
        <v>41963</v>
      </c>
      <c r="E50" s="423" t="s">
        <v>335</v>
      </c>
      <c r="F50" s="75">
        <v>50000</v>
      </c>
      <c r="G50" s="425" t="s">
        <v>10</v>
      </c>
      <c r="H50" s="425" t="s">
        <v>34</v>
      </c>
      <c r="I50" s="73">
        <f t="shared" si="0"/>
        <v>40</v>
      </c>
      <c r="J50" s="426">
        <f t="shared" si="1"/>
        <v>0</v>
      </c>
      <c r="K50" s="426">
        <f t="shared" si="2"/>
        <v>0</v>
      </c>
      <c r="L50" s="426">
        <f t="shared" si="3"/>
        <v>0</v>
      </c>
      <c r="M50" s="426">
        <f t="shared" si="4"/>
        <v>50000</v>
      </c>
      <c r="N50" s="426">
        <f t="shared" si="5"/>
        <v>50000</v>
      </c>
      <c r="O50" s="426">
        <f t="shared" si="6"/>
        <v>0</v>
      </c>
      <c r="P50" s="426">
        <f t="shared" si="7"/>
        <v>0</v>
      </c>
      <c r="Q50" s="426">
        <f t="shared" si="8"/>
        <v>0</v>
      </c>
      <c r="R50" s="426">
        <f t="shared" si="39"/>
        <v>0</v>
      </c>
      <c r="S50" s="426">
        <f t="shared" si="40"/>
        <v>0</v>
      </c>
      <c r="T50" s="426">
        <f t="shared" si="9"/>
        <v>0</v>
      </c>
      <c r="U50" s="426">
        <f t="shared" si="10"/>
        <v>0</v>
      </c>
      <c r="V50" s="426">
        <f t="shared" si="11"/>
        <v>0</v>
      </c>
      <c r="W50" s="426">
        <f t="shared" si="12"/>
        <v>0</v>
      </c>
      <c r="X50" s="426">
        <f t="shared" si="13"/>
        <v>0</v>
      </c>
      <c r="Y50" s="426">
        <f t="shared" si="14"/>
        <v>0</v>
      </c>
      <c r="Z50" s="426">
        <f t="shared" si="15"/>
        <v>0</v>
      </c>
      <c r="AA50" s="426">
        <f t="shared" si="16"/>
        <v>0</v>
      </c>
      <c r="AB50" s="426">
        <f t="shared" si="17"/>
        <v>0</v>
      </c>
      <c r="AC50" s="426">
        <f t="shared" si="18"/>
        <v>0</v>
      </c>
      <c r="AD50" s="426">
        <f t="shared" si="19"/>
        <v>0</v>
      </c>
      <c r="AE50" s="426">
        <f t="shared" si="20"/>
        <v>0</v>
      </c>
      <c r="AF50" s="426">
        <f t="shared" si="21"/>
        <v>0</v>
      </c>
      <c r="AG50" s="426">
        <f t="shared" si="22"/>
        <v>0</v>
      </c>
      <c r="AH50" s="426">
        <f t="shared" si="23"/>
        <v>0</v>
      </c>
      <c r="AI50" s="426">
        <f t="shared" si="24"/>
        <v>0</v>
      </c>
      <c r="AJ50" s="426">
        <f t="shared" si="25"/>
        <v>0</v>
      </c>
      <c r="AK50" s="426">
        <f t="shared" si="26"/>
        <v>0</v>
      </c>
      <c r="AL50" s="426">
        <f t="shared" si="27"/>
        <v>0</v>
      </c>
      <c r="AM50" s="426">
        <f t="shared" si="28"/>
        <v>0</v>
      </c>
      <c r="AN50" s="426">
        <f t="shared" si="29"/>
        <v>0</v>
      </c>
      <c r="AO50" s="426">
        <f t="shared" si="30"/>
        <v>0</v>
      </c>
      <c r="AP50" s="426">
        <f t="shared" si="31"/>
        <v>0</v>
      </c>
      <c r="AQ50" s="426">
        <f t="shared" si="32"/>
        <v>0</v>
      </c>
      <c r="AR50" s="426">
        <f t="shared" si="33"/>
        <v>0</v>
      </c>
      <c r="AS50" s="426">
        <f t="shared" si="34"/>
        <v>0</v>
      </c>
      <c r="AT50" s="426">
        <f t="shared" si="35"/>
        <v>0</v>
      </c>
      <c r="AU50" s="426">
        <f t="shared" si="36"/>
        <v>0</v>
      </c>
      <c r="AV50" s="426">
        <f t="shared" si="37"/>
        <v>0</v>
      </c>
      <c r="AW50" s="426">
        <f t="shared" si="38"/>
        <v>0</v>
      </c>
    </row>
    <row r="51" spans="1:49" s="421" customFormat="1" ht="12" customHeight="1">
      <c r="A51" s="73">
        <f t="array" ref="A51">IF(C51&lt;&gt;0,SUM(($C$11:C51&lt;&gt;0)*1),"")</f>
        <v>41</v>
      </c>
      <c r="B51" s="422">
        <v>41963</v>
      </c>
      <c r="C51" s="316" t="s">
        <v>99</v>
      </c>
      <c r="D51" s="316">
        <v>41963</v>
      </c>
      <c r="E51" s="423" t="s">
        <v>337</v>
      </c>
      <c r="F51" s="75">
        <v>40500000</v>
      </c>
      <c r="G51" s="425" t="s">
        <v>23</v>
      </c>
      <c r="H51" s="425" t="s">
        <v>120</v>
      </c>
      <c r="I51" s="73">
        <f t="shared" si="0"/>
        <v>41</v>
      </c>
      <c r="J51" s="426">
        <f t="shared" si="1"/>
        <v>0</v>
      </c>
      <c r="K51" s="426">
        <f t="shared" si="2"/>
        <v>40500000</v>
      </c>
      <c r="L51" s="426">
        <f t="shared" si="3"/>
        <v>0</v>
      </c>
      <c r="M51" s="426">
        <f t="shared" si="4"/>
        <v>0</v>
      </c>
      <c r="N51" s="426">
        <f t="shared" si="5"/>
        <v>0</v>
      </c>
      <c r="O51" s="426">
        <f t="shared" si="6"/>
        <v>0</v>
      </c>
      <c r="P51" s="426">
        <f t="shared" si="7"/>
        <v>0</v>
      </c>
      <c r="Q51" s="426">
        <f t="shared" si="8"/>
        <v>0</v>
      </c>
      <c r="R51" s="426">
        <f t="shared" si="39"/>
        <v>0</v>
      </c>
      <c r="S51" s="426">
        <f t="shared" si="40"/>
        <v>0</v>
      </c>
      <c r="T51" s="426">
        <f t="shared" si="9"/>
        <v>0</v>
      </c>
      <c r="U51" s="426">
        <f t="shared" si="10"/>
        <v>0</v>
      </c>
      <c r="V51" s="426">
        <f t="shared" si="11"/>
        <v>0</v>
      </c>
      <c r="W51" s="426">
        <f t="shared" si="12"/>
        <v>0</v>
      </c>
      <c r="X51" s="426">
        <f t="shared" si="13"/>
        <v>0</v>
      </c>
      <c r="Y51" s="426">
        <f t="shared" si="14"/>
        <v>0</v>
      </c>
      <c r="Z51" s="426">
        <f t="shared" si="15"/>
        <v>40500000</v>
      </c>
      <c r="AA51" s="426">
        <f t="shared" si="16"/>
        <v>0</v>
      </c>
      <c r="AB51" s="426">
        <f t="shared" si="17"/>
        <v>0</v>
      </c>
      <c r="AC51" s="426">
        <f t="shared" si="18"/>
        <v>0</v>
      </c>
      <c r="AD51" s="426">
        <f t="shared" si="19"/>
        <v>0</v>
      </c>
      <c r="AE51" s="426">
        <f t="shared" si="20"/>
        <v>0</v>
      </c>
      <c r="AF51" s="426">
        <f t="shared" si="21"/>
        <v>0</v>
      </c>
      <c r="AG51" s="426">
        <f t="shared" si="22"/>
        <v>0</v>
      </c>
      <c r="AH51" s="426">
        <f t="shared" si="23"/>
        <v>0</v>
      </c>
      <c r="AI51" s="426">
        <f t="shared" si="24"/>
        <v>0</v>
      </c>
      <c r="AJ51" s="426">
        <f t="shared" si="25"/>
        <v>0</v>
      </c>
      <c r="AK51" s="426">
        <f t="shared" si="26"/>
        <v>0</v>
      </c>
      <c r="AL51" s="426">
        <f t="shared" si="27"/>
        <v>0</v>
      </c>
      <c r="AM51" s="426">
        <f t="shared" si="28"/>
        <v>0</v>
      </c>
      <c r="AN51" s="426">
        <f t="shared" si="29"/>
        <v>0</v>
      </c>
      <c r="AO51" s="426">
        <f t="shared" si="30"/>
        <v>0</v>
      </c>
      <c r="AP51" s="426">
        <f t="shared" si="31"/>
        <v>0</v>
      </c>
      <c r="AQ51" s="426">
        <f t="shared" si="32"/>
        <v>0</v>
      </c>
      <c r="AR51" s="426">
        <f t="shared" si="33"/>
        <v>0</v>
      </c>
      <c r="AS51" s="426">
        <f t="shared" si="34"/>
        <v>0</v>
      </c>
      <c r="AT51" s="426">
        <f t="shared" si="35"/>
        <v>0</v>
      </c>
      <c r="AU51" s="426">
        <f t="shared" si="36"/>
        <v>0</v>
      </c>
      <c r="AV51" s="426">
        <f t="shared" si="37"/>
        <v>0</v>
      </c>
      <c r="AW51" s="426">
        <f t="shared" si="38"/>
        <v>0</v>
      </c>
    </row>
    <row r="52" spans="1:49" s="421" customFormat="1" ht="12" customHeight="1">
      <c r="A52" s="73">
        <f t="array" ref="A52">IF(C52&lt;&gt;0,SUM(($C$11:C52&lt;&gt;0)*1),"")</f>
        <v>42</v>
      </c>
      <c r="B52" s="422">
        <v>41963</v>
      </c>
      <c r="C52" s="316" t="s">
        <v>11</v>
      </c>
      <c r="D52" s="316">
        <v>41963</v>
      </c>
      <c r="E52" s="423" t="s">
        <v>333</v>
      </c>
      <c r="F52" s="75">
        <v>40500000</v>
      </c>
      <c r="G52" s="425" t="s">
        <v>34</v>
      </c>
      <c r="H52" s="425" t="s">
        <v>23</v>
      </c>
      <c r="I52" s="73">
        <f t="shared" si="0"/>
        <v>42</v>
      </c>
      <c r="J52" s="426">
        <f t="shared" si="1"/>
        <v>0</v>
      </c>
      <c r="K52" s="426">
        <f t="shared" si="2"/>
        <v>0</v>
      </c>
      <c r="L52" s="426">
        <f t="shared" si="3"/>
        <v>40500000</v>
      </c>
      <c r="M52" s="426">
        <f t="shared" si="4"/>
        <v>0</v>
      </c>
      <c r="N52" s="426">
        <f t="shared" si="5"/>
        <v>0</v>
      </c>
      <c r="O52" s="426">
        <f t="shared" si="6"/>
        <v>0</v>
      </c>
      <c r="P52" s="426">
        <f t="shared" si="7"/>
        <v>0</v>
      </c>
      <c r="Q52" s="426">
        <f t="shared" si="8"/>
        <v>0</v>
      </c>
      <c r="R52" s="426">
        <f t="shared" si="39"/>
        <v>0</v>
      </c>
      <c r="S52" s="426">
        <f t="shared" si="40"/>
        <v>0</v>
      </c>
      <c r="T52" s="426">
        <f t="shared" si="9"/>
        <v>0</v>
      </c>
      <c r="U52" s="426">
        <f t="shared" si="10"/>
        <v>0</v>
      </c>
      <c r="V52" s="426">
        <f t="shared" si="11"/>
        <v>0</v>
      </c>
      <c r="W52" s="426">
        <f t="shared" si="12"/>
        <v>0</v>
      </c>
      <c r="X52" s="426">
        <f t="shared" si="13"/>
        <v>0</v>
      </c>
      <c r="Y52" s="426">
        <f t="shared" si="14"/>
        <v>0</v>
      </c>
      <c r="Z52" s="426">
        <f t="shared" si="15"/>
        <v>0</v>
      </c>
      <c r="AA52" s="426">
        <f t="shared" si="16"/>
        <v>40500000</v>
      </c>
      <c r="AB52" s="426">
        <f t="shared" si="17"/>
        <v>0</v>
      </c>
      <c r="AC52" s="426">
        <f t="shared" si="18"/>
        <v>0</v>
      </c>
      <c r="AD52" s="426">
        <f t="shared" si="19"/>
        <v>0</v>
      </c>
      <c r="AE52" s="426">
        <f t="shared" si="20"/>
        <v>0</v>
      </c>
      <c r="AF52" s="426">
        <f t="shared" si="21"/>
        <v>0</v>
      </c>
      <c r="AG52" s="426">
        <f t="shared" si="22"/>
        <v>0</v>
      </c>
      <c r="AH52" s="426">
        <f t="shared" si="23"/>
        <v>0</v>
      </c>
      <c r="AI52" s="426">
        <f t="shared" si="24"/>
        <v>0</v>
      </c>
      <c r="AJ52" s="426">
        <f t="shared" si="25"/>
        <v>0</v>
      </c>
      <c r="AK52" s="426">
        <f t="shared" si="26"/>
        <v>0</v>
      </c>
      <c r="AL52" s="426">
        <f t="shared" si="27"/>
        <v>0</v>
      </c>
      <c r="AM52" s="426">
        <f t="shared" si="28"/>
        <v>0</v>
      </c>
      <c r="AN52" s="426">
        <f t="shared" si="29"/>
        <v>0</v>
      </c>
      <c r="AO52" s="426">
        <f t="shared" si="30"/>
        <v>0</v>
      </c>
      <c r="AP52" s="426">
        <f t="shared" si="31"/>
        <v>0</v>
      </c>
      <c r="AQ52" s="426">
        <f t="shared" si="32"/>
        <v>0</v>
      </c>
      <c r="AR52" s="426">
        <f t="shared" si="33"/>
        <v>0</v>
      </c>
      <c r="AS52" s="426">
        <f t="shared" si="34"/>
        <v>0</v>
      </c>
      <c r="AT52" s="426">
        <f t="shared" si="35"/>
        <v>0</v>
      </c>
      <c r="AU52" s="426">
        <f t="shared" si="36"/>
        <v>0</v>
      </c>
      <c r="AV52" s="426">
        <f t="shared" si="37"/>
        <v>0</v>
      </c>
      <c r="AW52" s="426">
        <f t="shared" si="38"/>
        <v>0</v>
      </c>
    </row>
    <row r="53" spans="1:49" s="421" customFormat="1" ht="12" customHeight="1">
      <c r="A53" s="73">
        <f t="array" ref="A53">IF(C53&lt;&gt;0,SUM(($C$11:C53&lt;&gt;0)*1),"")</f>
        <v>43</v>
      </c>
      <c r="B53" s="422">
        <v>41963</v>
      </c>
      <c r="C53" s="316" t="s">
        <v>8</v>
      </c>
      <c r="D53" s="316">
        <v>41963</v>
      </c>
      <c r="E53" s="423" t="s">
        <v>77</v>
      </c>
      <c r="F53" s="75">
        <v>8611111</v>
      </c>
      <c r="G53" s="425" t="s">
        <v>248</v>
      </c>
      <c r="H53" s="425" t="s">
        <v>34</v>
      </c>
      <c r="I53" s="73">
        <f t="shared" si="0"/>
        <v>43</v>
      </c>
      <c r="J53" s="426">
        <f t="shared" si="1"/>
        <v>0</v>
      </c>
      <c r="K53" s="426">
        <f t="shared" si="2"/>
        <v>0</v>
      </c>
      <c r="L53" s="426">
        <f t="shared" si="3"/>
        <v>0</v>
      </c>
      <c r="M53" s="426">
        <f t="shared" si="4"/>
        <v>8611111</v>
      </c>
      <c r="N53" s="426">
        <f t="shared" si="5"/>
        <v>0</v>
      </c>
      <c r="O53" s="426">
        <f t="shared" si="6"/>
        <v>0</v>
      </c>
      <c r="P53" s="426">
        <f t="shared" si="7"/>
        <v>0</v>
      </c>
      <c r="Q53" s="426">
        <f t="shared" si="8"/>
        <v>0</v>
      </c>
      <c r="R53" s="426">
        <f t="shared" si="39"/>
        <v>8611111</v>
      </c>
      <c r="S53" s="426">
        <f t="shared" si="40"/>
        <v>0</v>
      </c>
      <c r="T53" s="426">
        <f t="shared" si="9"/>
        <v>0</v>
      </c>
      <c r="U53" s="426">
        <f t="shared" si="10"/>
        <v>0</v>
      </c>
      <c r="V53" s="426">
        <f t="shared" si="11"/>
        <v>0</v>
      </c>
      <c r="W53" s="426">
        <f t="shared" si="12"/>
        <v>0</v>
      </c>
      <c r="X53" s="426">
        <f t="shared" si="13"/>
        <v>0</v>
      </c>
      <c r="Y53" s="426">
        <f t="shared" si="14"/>
        <v>0</v>
      </c>
      <c r="Z53" s="426">
        <f t="shared" si="15"/>
        <v>0</v>
      </c>
      <c r="AA53" s="426">
        <f t="shared" si="16"/>
        <v>0</v>
      </c>
      <c r="AB53" s="426">
        <f t="shared" si="17"/>
        <v>0</v>
      </c>
      <c r="AC53" s="426">
        <f t="shared" si="18"/>
        <v>0</v>
      </c>
      <c r="AD53" s="426">
        <f t="shared" si="19"/>
        <v>0</v>
      </c>
      <c r="AE53" s="426">
        <f t="shared" si="20"/>
        <v>0</v>
      </c>
      <c r="AF53" s="426">
        <f t="shared" si="21"/>
        <v>0</v>
      </c>
      <c r="AG53" s="426">
        <f t="shared" si="22"/>
        <v>0</v>
      </c>
      <c r="AH53" s="426">
        <f t="shared" si="23"/>
        <v>0</v>
      </c>
      <c r="AI53" s="426">
        <f t="shared" si="24"/>
        <v>0</v>
      </c>
      <c r="AJ53" s="426">
        <f t="shared" si="25"/>
        <v>0</v>
      </c>
      <c r="AK53" s="426">
        <f t="shared" si="26"/>
        <v>0</v>
      </c>
      <c r="AL53" s="426">
        <f t="shared" si="27"/>
        <v>0</v>
      </c>
      <c r="AM53" s="426">
        <f t="shared" si="28"/>
        <v>0</v>
      </c>
      <c r="AN53" s="426">
        <f t="shared" si="29"/>
        <v>0</v>
      </c>
      <c r="AO53" s="426">
        <f t="shared" si="30"/>
        <v>0</v>
      </c>
      <c r="AP53" s="426">
        <f t="shared" si="31"/>
        <v>0</v>
      </c>
      <c r="AQ53" s="426">
        <f t="shared" si="32"/>
        <v>0</v>
      </c>
      <c r="AR53" s="426">
        <f t="shared" si="33"/>
        <v>0</v>
      </c>
      <c r="AS53" s="426">
        <f t="shared" si="34"/>
        <v>0</v>
      </c>
      <c r="AT53" s="426">
        <f t="shared" si="35"/>
        <v>0</v>
      </c>
      <c r="AU53" s="426">
        <f t="shared" si="36"/>
        <v>0</v>
      </c>
      <c r="AV53" s="426">
        <f t="shared" si="37"/>
        <v>0</v>
      </c>
      <c r="AW53" s="426">
        <f t="shared" si="38"/>
        <v>0</v>
      </c>
    </row>
    <row r="54" spans="1:49" s="421" customFormat="1" ht="12" customHeight="1">
      <c r="A54" s="73">
        <f t="array" ref="A54">IF(C54&lt;&gt;0,SUM(($C$11:C54&lt;&gt;0)*1),"")</f>
        <v>44</v>
      </c>
      <c r="B54" s="422">
        <v>41963</v>
      </c>
      <c r="C54" s="316" t="s">
        <v>8</v>
      </c>
      <c r="D54" s="316">
        <v>41963</v>
      </c>
      <c r="E54" s="423" t="s">
        <v>425</v>
      </c>
      <c r="F54" s="75">
        <v>3588</v>
      </c>
      <c r="G54" s="425" t="s">
        <v>248</v>
      </c>
      <c r="H54" s="425" t="s">
        <v>34</v>
      </c>
      <c r="I54" s="73">
        <f t="shared" si="0"/>
        <v>44</v>
      </c>
      <c r="J54" s="426">
        <f t="shared" si="1"/>
        <v>0</v>
      </c>
      <c r="K54" s="426">
        <f t="shared" si="2"/>
        <v>0</v>
      </c>
      <c r="L54" s="426">
        <f t="shared" si="3"/>
        <v>0</v>
      </c>
      <c r="M54" s="426">
        <f t="shared" si="4"/>
        <v>3588</v>
      </c>
      <c r="N54" s="426">
        <f t="shared" si="5"/>
        <v>0</v>
      </c>
      <c r="O54" s="426">
        <f t="shared" si="6"/>
        <v>0</v>
      </c>
      <c r="P54" s="426">
        <f t="shared" si="7"/>
        <v>0</v>
      </c>
      <c r="Q54" s="426">
        <f t="shared" si="8"/>
        <v>0</v>
      </c>
      <c r="R54" s="426">
        <f t="shared" si="39"/>
        <v>3588</v>
      </c>
      <c r="S54" s="426">
        <f t="shared" si="40"/>
        <v>0</v>
      </c>
      <c r="T54" s="426">
        <f t="shared" si="9"/>
        <v>0</v>
      </c>
      <c r="U54" s="426">
        <f t="shared" si="10"/>
        <v>0</v>
      </c>
      <c r="V54" s="426">
        <f t="shared" si="11"/>
        <v>0</v>
      </c>
      <c r="W54" s="426">
        <f t="shared" si="12"/>
        <v>0</v>
      </c>
      <c r="X54" s="426">
        <f t="shared" si="13"/>
        <v>0</v>
      </c>
      <c r="Y54" s="426">
        <f t="shared" si="14"/>
        <v>0</v>
      </c>
      <c r="Z54" s="426">
        <f t="shared" si="15"/>
        <v>0</v>
      </c>
      <c r="AA54" s="426">
        <f t="shared" si="16"/>
        <v>0</v>
      </c>
      <c r="AB54" s="426">
        <f t="shared" si="17"/>
        <v>0</v>
      </c>
      <c r="AC54" s="426">
        <f t="shared" si="18"/>
        <v>0</v>
      </c>
      <c r="AD54" s="426">
        <f t="shared" si="19"/>
        <v>0</v>
      </c>
      <c r="AE54" s="426">
        <f t="shared" si="20"/>
        <v>0</v>
      </c>
      <c r="AF54" s="426">
        <f t="shared" si="21"/>
        <v>0</v>
      </c>
      <c r="AG54" s="426">
        <f t="shared" si="22"/>
        <v>0</v>
      </c>
      <c r="AH54" s="426">
        <f t="shared" si="23"/>
        <v>0</v>
      </c>
      <c r="AI54" s="426">
        <f t="shared" si="24"/>
        <v>0</v>
      </c>
      <c r="AJ54" s="426">
        <f t="shared" si="25"/>
        <v>0</v>
      </c>
      <c r="AK54" s="426">
        <f t="shared" si="26"/>
        <v>0</v>
      </c>
      <c r="AL54" s="426">
        <f t="shared" si="27"/>
        <v>0</v>
      </c>
      <c r="AM54" s="426">
        <f t="shared" si="28"/>
        <v>0</v>
      </c>
      <c r="AN54" s="426">
        <f t="shared" si="29"/>
        <v>0</v>
      </c>
      <c r="AO54" s="426">
        <f t="shared" si="30"/>
        <v>0</v>
      </c>
      <c r="AP54" s="426">
        <f t="shared" si="31"/>
        <v>0</v>
      </c>
      <c r="AQ54" s="426">
        <f t="shared" si="32"/>
        <v>0</v>
      </c>
      <c r="AR54" s="426">
        <f t="shared" si="33"/>
        <v>0</v>
      </c>
      <c r="AS54" s="426">
        <f t="shared" si="34"/>
        <v>0</v>
      </c>
      <c r="AT54" s="426">
        <f t="shared" si="35"/>
        <v>0</v>
      </c>
      <c r="AU54" s="426">
        <f t="shared" si="36"/>
        <v>0</v>
      </c>
      <c r="AV54" s="426">
        <f t="shared" si="37"/>
        <v>0</v>
      </c>
      <c r="AW54" s="426">
        <f t="shared" si="38"/>
        <v>0</v>
      </c>
    </row>
    <row r="55" spans="1:49" s="421" customFormat="1" ht="12" customHeight="1">
      <c r="A55" s="73">
        <f t="array" ref="A55">IF(C55&lt;&gt;0,SUM(($C$11:C55&lt;&gt;0)*1),"")</f>
        <v>45</v>
      </c>
      <c r="B55" s="422">
        <v>41963</v>
      </c>
      <c r="C55" s="316" t="s">
        <v>8</v>
      </c>
      <c r="D55" s="316">
        <v>41963</v>
      </c>
      <c r="E55" s="423" t="s">
        <v>85</v>
      </c>
      <c r="F55" s="75">
        <v>31666667</v>
      </c>
      <c r="G55" s="425" t="s">
        <v>248</v>
      </c>
      <c r="H55" s="425" t="s">
        <v>34</v>
      </c>
      <c r="I55" s="73">
        <f t="shared" si="0"/>
        <v>45</v>
      </c>
      <c r="J55" s="426">
        <f t="shared" si="1"/>
        <v>0</v>
      </c>
      <c r="K55" s="426">
        <f t="shared" si="2"/>
        <v>0</v>
      </c>
      <c r="L55" s="426">
        <f t="shared" si="3"/>
        <v>0</v>
      </c>
      <c r="M55" s="426">
        <f t="shared" si="4"/>
        <v>31666667</v>
      </c>
      <c r="N55" s="426">
        <f t="shared" si="5"/>
        <v>0</v>
      </c>
      <c r="O55" s="426">
        <f t="shared" si="6"/>
        <v>0</v>
      </c>
      <c r="P55" s="426">
        <f t="shared" si="7"/>
        <v>0</v>
      </c>
      <c r="Q55" s="426">
        <f t="shared" si="8"/>
        <v>0</v>
      </c>
      <c r="R55" s="426">
        <f t="shared" si="39"/>
        <v>31666667</v>
      </c>
      <c r="S55" s="426">
        <f t="shared" si="40"/>
        <v>0</v>
      </c>
      <c r="T55" s="426">
        <f t="shared" si="9"/>
        <v>0</v>
      </c>
      <c r="U55" s="426">
        <f t="shared" si="10"/>
        <v>0</v>
      </c>
      <c r="V55" s="426">
        <f t="shared" si="11"/>
        <v>0</v>
      </c>
      <c r="W55" s="426">
        <f t="shared" si="12"/>
        <v>0</v>
      </c>
      <c r="X55" s="426">
        <f t="shared" si="13"/>
        <v>0</v>
      </c>
      <c r="Y55" s="426">
        <f t="shared" si="14"/>
        <v>0</v>
      </c>
      <c r="Z55" s="426">
        <f t="shared" si="15"/>
        <v>0</v>
      </c>
      <c r="AA55" s="426">
        <f t="shared" si="16"/>
        <v>0</v>
      </c>
      <c r="AB55" s="426">
        <f t="shared" si="17"/>
        <v>0</v>
      </c>
      <c r="AC55" s="426">
        <f t="shared" si="18"/>
        <v>0</v>
      </c>
      <c r="AD55" s="426">
        <f t="shared" si="19"/>
        <v>0</v>
      </c>
      <c r="AE55" s="426">
        <f t="shared" si="20"/>
        <v>0</v>
      </c>
      <c r="AF55" s="426">
        <f t="shared" si="21"/>
        <v>0</v>
      </c>
      <c r="AG55" s="426">
        <f t="shared" si="22"/>
        <v>0</v>
      </c>
      <c r="AH55" s="426">
        <f t="shared" si="23"/>
        <v>0</v>
      </c>
      <c r="AI55" s="426">
        <f t="shared" si="24"/>
        <v>0</v>
      </c>
      <c r="AJ55" s="426">
        <f t="shared" si="25"/>
        <v>0</v>
      </c>
      <c r="AK55" s="426">
        <f t="shared" si="26"/>
        <v>0</v>
      </c>
      <c r="AL55" s="426">
        <f t="shared" si="27"/>
        <v>0</v>
      </c>
      <c r="AM55" s="426">
        <f t="shared" si="28"/>
        <v>0</v>
      </c>
      <c r="AN55" s="426">
        <f t="shared" si="29"/>
        <v>0</v>
      </c>
      <c r="AO55" s="426">
        <f t="shared" si="30"/>
        <v>0</v>
      </c>
      <c r="AP55" s="426">
        <f t="shared" si="31"/>
        <v>0</v>
      </c>
      <c r="AQ55" s="426">
        <f t="shared" si="32"/>
        <v>0</v>
      </c>
      <c r="AR55" s="426">
        <f t="shared" si="33"/>
        <v>0</v>
      </c>
      <c r="AS55" s="426">
        <f t="shared" si="34"/>
        <v>0</v>
      </c>
      <c r="AT55" s="426">
        <f t="shared" si="35"/>
        <v>0</v>
      </c>
      <c r="AU55" s="426">
        <f t="shared" si="36"/>
        <v>0</v>
      </c>
      <c r="AV55" s="426">
        <f t="shared" si="37"/>
        <v>0</v>
      </c>
      <c r="AW55" s="426">
        <f t="shared" si="38"/>
        <v>0</v>
      </c>
    </row>
    <row r="56" spans="1:49" s="421" customFormat="1" ht="12" customHeight="1">
      <c r="A56" s="73">
        <f t="array" ref="A56">IF(C56&lt;&gt;0,SUM(($C$11:C56&lt;&gt;0)*1),"")</f>
        <v>46</v>
      </c>
      <c r="B56" s="422">
        <v>41963</v>
      </c>
      <c r="C56" s="316" t="s">
        <v>8</v>
      </c>
      <c r="D56" s="316">
        <v>41963</v>
      </c>
      <c r="E56" s="423" t="s">
        <v>426</v>
      </c>
      <c r="F56" s="75">
        <v>13194</v>
      </c>
      <c r="G56" s="425" t="s">
        <v>248</v>
      </c>
      <c r="H56" s="425" t="s">
        <v>34</v>
      </c>
      <c r="I56" s="73">
        <f t="shared" si="0"/>
        <v>46</v>
      </c>
      <c r="J56" s="426">
        <f t="shared" si="1"/>
        <v>0</v>
      </c>
      <c r="K56" s="426">
        <f t="shared" si="2"/>
        <v>0</v>
      </c>
      <c r="L56" s="426">
        <f t="shared" si="3"/>
        <v>0</v>
      </c>
      <c r="M56" s="426">
        <f t="shared" si="4"/>
        <v>13194</v>
      </c>
      <c r="N56" s="426">
        <f t="shared" si="5"/>
        <v>0</v>
      </c>
      <c r="O56" s="426">
        <f t="shared" si="6"/>
        <v>0</v>
      </c>
      <c r="P56" s="426">
        <f t="shared" si="7"/>
        <v>0</v>
      </c>
      <c r="Q56" s="426">
        <f t="shared" si="8"/>
        <v>0</v>
      </c>
      <c r="R56" s="426">
        <f t="shared" si="39"/>
        <v>13194</v>
      </c>
      <c r="S56" s="426">
        <f t="shared" si="40"/>
        <v>0</v>
      </c>
      <c r="T56" s="426">
        <f t="shared" si="9"/>
        <v>0</v>
      </c>
      <c r="U56" s="426">
        <f t="shared" si="10"/>
        <v>0</v>
      </c>
      <c r="V56" s="426">
        <f t="shared" si="11"/>
        <v>0</v>
      </c>
      <c r="W56" s="426">
        <f t="shared" si="12"/>
        <v>0</v>
      </c>
      <c r="X56" s="426">
        <f t="shared" si="13"/>
        <v>0</v>
      </c>
      <c r="Y56" s="426">
        <f t="shared" si="14"/>
        <v>0</v>
      </c>
      <c r="Z56" s="426">
        <f t="shared" si="15"/>
        <v>0</v>
      </c>
      <c r="AA56" s="426">
        <f t="shared" si="16"/>
        <v>0</v>
      </c>
      <c r="AB56" s="426">
        <f t="shared" si="17"/>
        <v>0</v>
      </c>
      <c r="AC56" s="426">
        <f t="shared" si="18"/>
        <v>0</v>
      </c>
      <c r="AD56" s="426">
        <f t="shared" si="19"/>
        <v>0</v>
      </c>
      <c r="AE56" s="426">
        <f t="shared" si="20"/>
        <v>0</v>
      </c>
      <c r="AF56" s="426">
        <f t="shared" si="21"/>
        <v>0</v>
      </c>
      <c r="AG56" s="426">
        <f t="shared" si="22"/>
        <v>0</v>
      </c>
      <c r="AH56" s="426">
        <f t="shared" si="23"/>
        <v>0</v>
      </c>
      <c r="AI56" s="426">
        <f t="shared" si="24"/>
        <v>0</v>
      </c>
      <c r="AJ56" s="426">
        <f t="shared" si="25"/>
        <v>0</v>
      </c>
      <c r="AK56" s="426">
        <f t="shared" si="26"/>
        <v>0</v>
      </c>
      <c r="AL56" s="426">
        <f t="shared" si="27"/>
        <v>0</v>
      </c>
      <c r="AM56" s="426">
        <f t="shared" si="28"/>
        <v>0</v>
      </c>
      <c r="AN56" s="426">
        <f t="shared" si="29"/>
        <v>0</v>
      </c>
      <c r="AO56" s="426">
        <f t="shared" si="30"/>
        <v>0</v>
      </c>
      <c r="AP56" s="426">
        <f t="shared" si="31"/>
        <v>0</v>
      </c>
      <c r="AQ56" s="426">
        <f t="shared" si="32"/>
        <v>0</v>
      </c>
      <c r="AR56" s="426">
        <f t="shared" si="33"/>
        <v>0</v>
      </c>
      <c r="AS56" s="426">
        <f t="shared" si="34"/>
        <v>0</v>
      </c>
      <c r="AT56" s="426">
        <f t="shared" si="35"/>
        <v>0</v>
      </c>
      <c r="AU56" s="426">
        <f t="shared" si="36"/>
        <v>0</v>
      </c>
      <c r="AV56" s="426">
        <f t="shared" si="37"/>
        <v>0</v>
      </c>
      <c r="AW56" s="426">
        <f t="shared" si="38"/>
        <v>0</v>
      </c>
    </row>
    <row r="57" spans="1:49" s="421" customFormat="1" ht="12" customHeight="1">
      <c r="A57" s="73">
        <f t="array" ref="A57">IF(C57&lt;&gt;0,SUM(($C$11:C57&lt;&gt;0)*1),"")</f>
        <v>47</v>
      </c>
      <c r="B57" s="422">
        <v>41967</v>
      </c>
      <c r="C57" s="316" t="s">
        <v>11</v>
      </c>
      <c r="D57" s="316">
        <v>41967</v>
      </c>
      <c r="E57" s="423" t="s">
        <v>66</v>
      </c>
      <c r="F57" s="75">
        <v>61267</v>
      </c>
      <c r="G57" s="425" t="s">
        <v>34</v>
      </c>
      <c r="H57" s="425" t="s">
        <v>67</v>
      </c>
      <c r="I57" s="73">
        <f t="shared" si="0"/>
        <v>47</v>
      </c>
      <c r="J57" s="426">
        <f t="shared" si="1"/>
        <v>0</v>
      </c>
      <c r="K57" s="426">
        <f t="shared" si="2"/>
        <v>0</v>
      </c>
      <c r="L57" s="426">
        <f t="shared" si="3"/>
        <v>61267</v>
      </c>
      <c r="M57" s="426">
        <f t="shared" si="4"/>
        <v>0</v>
      </c>
      <c r="N57" s="426">
        <f t="shared" si="5"/>
        <v>0</v>
      </c>
      <c r="O57" s="426">
        <f t="shared" si="6"/>
        <v>0</v>
      </c>
      <c r="P57" s="426">
        <f t="shared" si="7"/>
        <v>0</v>
      </c>
      <c r="Q57" s="426">
        <f t="shared" si="8"/>
        <v>0</v>
      </c>
      <c r="R57" s="426">
        <f t="shared" si="39"/>
        <v>0</v>
      </c>
      <c r="S57" s="426">
        <f t="shared" si="40"/>
        <v>0</v>
      </c>
      <c r="T57" s="426">
        <f t="shared" si="9"/>
        <v>0</v>
      </c>
      <c r="U57" s="426">
        <f t="shared" si="10"/>
        <v>0</v>
      </c>
      <c r="V57" s="426">
        <f t="shared" si="11"/>
        <v>0</v>
      </c>
      <c r="W57" s="426">
        <f t="shared" si="12"/>
        <v>0</v>
      </c>
      <c r="X57" s="426">
        <f t="shared" si="13"/>
        <v>0</v>
      </c>
      <c r="Y57" s="426">
        <f t="shared" si="14"/>
        <v>0</v>
      </c>
      <c r="Z57" s="426">
        <f t="shared" si="15"/>
        <v>0</v>
      </c>
      <c r="AA57" s="426">
        <f t="shared" si="16"/>
        <v>0</v>
      </c>
      <c r="AB57" s="426">
        <f t="shared" si="17"/>
        <v>0</v>
      </c>
      <c r="AC57" s="426">
        <f t="shared" si="18"/>
        <v>0</v>
      </c>
      <c r="AD57" s="426">
        <f t="shared" si="19"/>
        <v>0</v>
      </c>
      <c r="AE57" s="426">
        <f t="shared" si="20"/>
        <v>0</v>
      </c>
      <c r="AF57" s="426">
        <f t="shared" si="21"/>
        <v>0</v>
      </c>
      <c r="AG57" s="426">
        <f t="shared" si="22"/>
        <v>0</v>
      </c>
      <c r="AH57" s="426">
        <f t="shared" si="23"/>
        <v>0</v>
      </c>
      <c r="AI57" s="426">
        <f t="shared" si="24"/>
        <v>0</v>
      </c>
      <c r="AJ57" s="426">
        <f t="shared" si="25"/>
        <v>0</v>
      </c>
      <c r="AK57" s="426">
        <f t="shared" si="26"/>
        <v>61267</v>
      </c>
      <c r="AL57" s="426">
        <f t="shared" si="27"/>
        <v>0</v>
      </c>
      <c r="AM57" s="426">
        <f t="shared" si="28"/>
        <v>0</v>
      </c>
      <c r="AN57" s="426">
        <f t="shared" si="29"/>
        <v>0</v>
      </c>
      <c r="AO57" s="426">
        <f t="shared" si="30"/>
        <v>0</v>
      </c>
      <c r="AP57" s="426">
        <f t="shared" si="31"/>
        <v>0</v>
      </c>
      <c r="AQ57" s="426">
        <f t="shared" si="32"/>
        <v>0</v>
      </c>
      <c r="AR57" s="426">
        <f t="shared" si="33"/>
        <v>0</v>
      </c>
      <c r="AS57" s="426">
        <f t="shared" si="34"/>
        <v>0</v>
      </c>
      <c r="AT57" s="426">
        <f t="shared" si="35"/>
        <v>0</v>
      </c>
      <c r="AU57" s="426">
        <f t="shared" si="36"/>
        <v>0</v>
      </c>
      <c r="AV57" s="426">
        <f t="shared" si="37"/>
        <v>0</v>
      </c>
      <c r="AW57" s="426">
        <f t="shared" si="38"/>
        <v>0</v>
      </c>
    </row>
    <row r="58" spans="1:49" s="421" customFormat="1" ht="12" customHeight="1">
      <c r="A58" s="73">
        <f t="array" ref="A58">IF(C58&lt;&gt;0,SUM(($C$11:C58&lt;&gt;0)*1),"")</f>
        <v>48</v>
      </c>
      <c r="B58" s="422">
        <v>41984</v>
      </c>
      <c r="C58" s="316" t="s">
        <v>11</v>
      </c>
      <c r="D58" s="316">
        <v>41984</v>
      </c>
      <c r="E58" s="423" t="s">
        <v>396</v>
      </c>
      <c r="F58" s="75">
        <v>1000000000</v>
      </c>
      <c r="G58" s="425" t="s">
        <v>34</v>
      </c>
      <c r="H58" s="425" t="s">
        <v>65</v>
      </c>
      <c r="I58" s="73">
        <f t="shared" si="0"/>
        <v>48</v>
      </c>
      <c r="J58" s="426">
        <f t="shared" si="1"/>
        <v>0</v>
      </c>
      <c r="K58" s="426">
        <f t="shared" si="2"/>
        <v>0</v>
      </c>
      <c r="L58" s="426">
        <f t="shared" si="3"/>
        <v>1000000000</v>
      </c>
      <c r="M58" s="426">
        <f t="shared" si="4"/>
        <v>0</v>
      </c>
      <c r="N58" s="426">
        <f t="shared" si="5"/>
        <v>0</v>
      </c>
      <c r="O58" s="426">
        <f t="shared" si="6"/>
        <v>0</v>
      </c>
      <c r="P58" s="426">
        <f t="shared" si="7"/>
        <v>0</v>
      </c>
      <c r="Q58" s="426">
        <f t="shared" si="8"/>
        <v>0</v>
      </c>
      <c r="R58" s="426">
        <f t="shared" si="39"/>
        <v>0</v>
      </c>
      <c r="S58" s="426">
        <f t="shared" si="40"/>
        <v>0</v>
      </c>
      <c r="T58" s="426">
        <f t="shared" si="9"/>
        <v>0</v>
      </c>
      <c r="U58" s="426">
        <f t="shared" si="10"/>
        <v>0</v>
      </c>
      <c r="V58" s="426">
        <f t="shared" si="11"/>
        <v>0</v>
      </c>
      <c r="W58" s="426">
        <f t="shared" si="12"/>
        <v>0</v>
      </c>
      <c r="X58" s="426">
        <f t="shared" si="13"/>
        <v>0</v>
      </c>
      <c r="Y58" s="426">
        <f t="shared" si="14"/>
        <v>0</v>
      </c>
      <c r="Z58" s="426">
        <f t="shared" si="15"/>
        <v>0</v>
      </c>
      <c r="AA58" s="426">
        <f t="shared" si="16"/>
        <v>0</v>
      </c>
      <c r="AB58" s="426">
        <f t="shared" si="17"/>
        <v>0</v>
      </c>
      <c r="AC58" s="426">
        <f t="shared" si="18"/>
        <v>0</v>
      </c>
      <c r="AD58" s="426">
        <f t="shared" si="19"/>
        <v>0</v>
      </c>
      <c r="AE58" s="426">
        <f t="shared" si="20"/>
        <v>0</v>
      </c>
      <c r="AF58" s="426">
        <f t="shared" si="21"/>
        <v>0</v>
      </c>
      <c r="AG58" s="426">
        <f t="shared" si="22"/>
        <v>0</v>
      </c>
      <c r="AH58" s="426">
        <f t="shared" si="23"/>
        <v>0</v>
      </c>
      <c r="AI58" s="426">
        <f t="shared" si="24"/>
        <v>0</v>
      </c>
      <c r="AJ58" s="426">
        <f t="shared" si="25"/>
        <v>0</v>
      </c>
      <c r="AK58" s="426">
        <f t="shared" si="26"/>
        <v>0</v>
      </c>
      <c r="AL58" s="426">
        <f t="shared" si="27"/>
        <v>0</v>
      </c>
      <c r="AM58" s="426">
        <f t="shared" si="28"/>
        <v>0</v>
      </c>
      <c r="AN58" s="426">
        <f t="shared" si="29"/>
        <v>0</v>
      </c>
      <c r="AO58" s="426">
        <f t="shared" si="30"/>
        <v>0</v>
      </c>
      <c r="AP58" s="426">
        <f t="shared" si="31"/>
        <v>0</v>
      </c>
      <c r="AQ58" s="426">
        <f t="shared" si="32"/>
        <v>0</v>
      </c>
      <c r="AR58" s="426">
        <f t="shared" si="33"/>
        <v>0</v>
      </c>
      <c r="AS58" s="426">
        <f t="shared" si="34"/>
        <v>0</v>
      </c>
      <c r="AT58" s="426">
        <f t="shared" si="35"/>
        <v>0</v>
      </c>
      <c r="AU58" s="426">
        <f t="shared" si="36"/>
        <v>0</v>
      </c>
      <c r="AV58" s="426">
        <f t="shared" si="37"/>
        <v>0</v>
      </c>
      <c r="AW58" s="426">
        <f t="shared" si="38"/>
        <v>0</v>
      </c>
    </row>
    <row r="59" spans="1:49" s="421" customFormat="1" ht="12" customHeight="1">
      <c r="A59" s="73">
        <f t="array" ref="A59">IF(C59&lt;&gt;0,SUM(($C$11:C59&lt;&gt;0)*1),"")</f>
        <v>49</v>
      </c>
      <c r="B59" s="422">
        <v>41984</v>
      </c>
      <c r="C59" s="316" t="s">
        <v>8</v>
      </c>
      <c r="D59" s="316">
        <v>41984</v>
      </c>
      <c r="E59" s="423" t="s">
        <v>372</v>
      </c>
      <c r="F59" s="75">
        <v>1000000000</v>
      </c>
      <c r="G59" s="425" t="s">
        <v>9</v>
      </c>
      <c r="H59" s="425" t="s">
        <v>34</v>
      </c>
      <c r="I59" s="73">
        <f t="shared" si="0"/>
        <v>49</v>
      </c>
      <c r="J59" s="426">
        <f t="shared" si="1"/>
        <v>0</v>
      </c>
      <c r="K59" s="426">
        <f t="shared" si="2"/>
        <v>0</v>
      </c>
      <c r="L59" s="426">
        <f t="shared" si="3"/>
        <v>0</v>
      </c>
      <c r="M59" s="426">
        <f t="shared" si="4"/>
        <v>1000000000</v>
      </c>
      <c r="N59" s="426">
        <f t="shared" si="5"/>
        <v>0</v>
      </c>
      <c r="O59" s="426">
        <f t="shared" si="6"/>
        <v>0</v>
      </c>
      <c r="P59" s="426">
        <f t="shared" si="7"/>
        <v>0</v>
      </c>
      <c r="Q59" s="426">
        <f t="shared" si="8"/>
        <v>0</v>
      </c>
      <c r="R59" s="426">
        <f t="shared" si="39"/>
        <v>0</v>
      </c>
      <c r="S59" s="426">
        <f t="shared" si="40"/>
        <v>0</v>
      </c>
      <c r="T59" s="426">
        <f t="shared" si="9"/>
        <v>1000000000</v>
      </c>
      <c r="U59" s="426">
        <f t="shared" si="10"/>
        <v>0</v>
      </c>
      <c r="V59" s="426">
        <f t="shared" si="11"/>
        <v>0</v>
      </c>
      <c r="W59" s="426">
        <f t="shared" si="12"/>
        <v>0</v>
      </c>
      <c r="X59" s="426">
        <f t="shared" si="13"/>
        <v>0</v>
      </c>
      <c r="Y59" s="426">
        <f t="shared" si="14"/>
        <v>0</v>
      </c>
      <c r="Z59" s="426">
        <f t="shared" si="15"/>
        <v>0</v>
      </c>
      <c r="AA59" s="426">
        <f t="shared" si="16"/>
        <v>0</v>
      </c>
      <c r="AB59" s="426">
        <f t="shared" si="17"/>
        <v>0</v>
      </c>
      <c r="AC59" s="426">
        <f t="shared" si="18"/>
        <v>0</v>
      </c>
      <c r="AD59" s="426">
        <f t="shared" si="19"/>
        <v>0</v>
      </c>
      <c r="AE59" s="426">
        <f t="shared" si="20"/>
        <v>0</v>
      </c>
      <c r="AF59" s="426">
        <f t="shared" si="21"/>
        <v>0</v>
      </c>
      <c r="AG59" s="426">
        <f t="shared" si="22"/>
        <v>0</v>
      </c>
      <c r="AH59" s="426">
        <f t="shared" si="23"/>
        <v>0</v>
      </c>
      <c r="AI59" s="426">
        <f t="shared" si="24"/>
        <v>0</v>
      </c>
      <c r="AJ59" s="426">
        <f t="shared" si="25"/>
        <v>0</v>
      </c>
      <c r="AK59" s="426">
        <f t="shared" si="26"/>
        <v>0</v>
      </c>
      <c r="AL59" s="426">
        <f t="shared" si="27"/>
        <v>0</v>
      </c>
      <c r="AM59" s="426">
        <f t="shared" si="28"/>
        <v>0</v>
      </c>
      <c r="AN59" s="426">
        <f t="shared" si="29"/>
        <v>0</v>
      </c>
      <c r="AO59" s="426">
        <f t="shared" si="30"/>
        <v>0</v>
      </c>
      <c r="AP59" s="426">
        <f t="shared" si="31"/>
        <v>0</v>
      </c>
      <c r="AQ59" s="426">
        <f t="shared" si="32"/>
        <v>0</v>
      </c>
      <c r="AR59" s="426">
        <f t="shared" si="33"/>
        <v>0</v>
      </c>
      <c r="AS59" s="426">
        <f t="shared" si="34"/>
        <v>0</v>
      </c>
      <c r="AT59" s="426">
        <f t="shared" si="35"/>
        <v>0</v>
      </c>
      <c r="AU59" s="426">
        <f t="shared" si="36"/>
        <v>0</v>
      </c>
      <c r="AV59" s="426">
        <f t="shared" si="37"/>
        <v>0</v>
      </c>
      <c r="AW59" s="426">
        <f t="shared" si="38"/>
        <v>0</v>
      </c>
    </row>
    <row r="60" spans="1:49" s="421" customFormat="1" ht="12" customHeight="1">
      <c r="A60" s="73">
        <f t="array" ref="A60">IF(C60&lt;&gt;0,SUM(($C$11:C60&lt;&gt;0)*1),"")</f>
        <v>50</v>
      </c>
      <c r="B60" s="422">
        <v>41993</v>
      </c>
      <c r="C60" s="316" t="s">
        <v>100</v>
      </c>
      <c r="D60" s="316">
        <v>41993</v>
      </c>
      <c r="E60" s="423" t="s">
        <v>342</v>
      </c>
      <c r="F60" s="75">
        <v>51000000</v>
      </c>
      <c r="G60" s="425" t="s">
        <v>34</v>
      </c>
      <c r="H60" s="425" t="s">
        <v>120</v>
      </c>
      <c r="I60" s="73">
        <f t="shared" si="0"/>
        <v>50</v>
      </c>
      <c r="J60" s="426">
        <f t="shared" si="1"/>
        <v>0</v>
      </c>
      <c r="K60" s="426">
        <f t="shared" si="2"/>
        <v>51000000</v>
      </c>
      <c r="L60" s="426">
        <f t="shared" si="3"/>
        <v>51000000</v>
      </c>
      <c r="M60" s="426">
        <f t="shared" si="4"/>
        <v>0</v>
      </c>
      <c r="N60" s="426">
        <f t="shared" si="5"/>
        <v>0</v>
      </c>
      <c r="O60" s="426">
        <f t="shared" si="6"/>
        <v>0</v>
      </c>
      <c r="P60" s="426">
        <f t="shared" si="7"/>
        <v>0</v>
      </c>
      <c r="Q60" s="426">
        <f t="shared" si="8"/>
        <v>0</v>
      </c>
      <c r="R60" s="426">
        <f t="shared" si="39"/>
        <v>0</v>
      </c>
      <c r="S60" s="426">
        <f t="shared" si="40"/>
        <v>0</v>
      </c>
      <c r="T60" s="426">
        <f t="shared" si="9"/>
        <v>0</v>
      </c>
      <c r="U60" s="426">
        <f t="shared" si="10"/>
        <v>0</v>
      </c>
      <c r="V60" s="426">
        <f t="shared" si="11"/>
        <v>0</v>
      </c>
      <c r="W60" s="426">
        <f t="shared" si="12"/>
        <v>0</v>
      </c>
      <c r="X60" s="426">
        <f t="shared" si="13"/>
        <v>0</v>
      </c>
      <c r="Y60" s="426">
        <f t="shared" si="14"/>
        <v>0</v>
      </c>
      <c r="Z60" s="426">
        <f t="shared" si="15"/>
        <v>0</v>
      </c>
      <c r="AA60" s="426">
        <f t="shared" si="16"/>
        <v>0</v>
      </c>
      <c r="AB60" s="426">
        <f t="shared" si="17"/>
        <v>0</v>
      </c>
      <c r="AC60" s="426">
        <f t="shared" si="18"/>
        <v>0</v>
      </c>
      <c r="AD60" s="426">
        <f t="shared" si="19"/>
        <v>0</v>
      </c>
      <c r="AE60" s="426">
        <f t="shared" si="20"/>
        <v>0</v>
      </c>
      <c r="AF60" s="426">
        <f t="shared" si="21"/>
        <v>0</v>
      </c>
      <c r="AG60" s="426">
        <f t="shared" si="22"/>
        <v>0</v>
      </c>
      <c r="AH60" s="426">
        <f t="shared" si="23"/>
        <v>0</v>
      </c>
      <c r="AI60" s="426">
        <f t="shared" si="24"/>
        <v>0</v>
      </c>
      <c r="AJ60" s="426">
        <f t="shared" si="25"/>
        <v>0</v>
      </c>
      <c r="AK60" s="426">
        <f t="shared" si="26"/>
        <v>0</v>
      </c>
      <c r="AL60" s="426">
        <f t="shared" si="27"/>
        <v>0</v>
      </c>
      <c r="AM60" s="426">
        <f t="shared" si="28"/>
        <v>0</v>
      </c>
      <c r="AN60" s="426">
        <f t="shared" si="29"/>
        <v>0</v>
      </c>
      <c r="AO60" s="426">
        <f t="shared" si="30"/>
        <v>0</v>
      </c>
      <c r="AP60" s="426">
        <f t="shared" si="31"/>
        <v>0</v>
      </c>
      <c r="AQ60" s="426">
        <f t="shared" si="32"/>
        <v>0</v>
      </c>
      <c r="AR60" s="426">
        <f t="shared" si="33"/>
        <v>0</v>
      </c>
      <c r="AS60" s="426">
        <f t="shared" si="34"/>
        <v>0</v>
      </c>
      <c r="AT60" s="426">
        <f t="shared" si="35"/>
        <v>0</v>
      </c>
      <c r="AU60" s="426">
        <f t="shared" si="36"/>
        <v>0</v>
      </c>
      <c r="AV60" s="426">
        <f t="shared" si="37"/>
        <v>0</v>
      </c>
      <c r="AW60" s="426">
        <f t="shared" si="38"/>
        <v>0</v>
      </c>
    </row>
    <row r="61" spans="1:49" s="421" customFormat="1" ht="12" customHeight="1">
      <c r="A61" s="73">
        <f t="array" ref="A61">IF(C61&lt;&gt;0,SUM(($C$11:C61&lt;&gt;0)*1),"")</f>
        <v>51</v>
      </c>
      <c r="B61" s="422">
        <v>41993</v>
      </c>
      <c r="C61" s="316" t="s">
        <v>8</v>
      </c>
      <c r="D61" s="316">
        <v>41993</v>
      </c>
      <c r="E61" s="423" t="s">
        <v>77</v>
      </c>
      <c r="F61" s="75">
        <v>8336805</v>
      </c>
      <c r="G61" s="425" t="s">
        <v>248</v>
      </c>
      <c r="H61" s="425" t="s">
        <v>34</v>
      </c>
      <c r="I61" s="73">
        <f t="shared" si="0"/>
        <v>51</v>
      </c>
      <c r="J61" s="426">
        <f t="shared" si="1"/>
        <v>0</v>
      </c>
      <c r="K61" s="426">
        <f t="shared" si="2"/>
        <v>0</v>
      </c>
      <c r="L61" s="426">
        <f t="shared" si="3"/>
        <v>0</v>
      </c>
      <c r="M61" s="426">
        <f t="shared" si="4"/>
        <v>8336805</v>
      </c>
      <c r="N61" s="426">
        <f t="shared" si="5"/>
        <v>0</v>
      </c>
      <c r="O61" s="426">
        <f t="shared" si="6"/>
        <v>0</v>
      </c>
      <c r="P61" s="426">
        <f t="shared" si="7"/>
        <v>0</v>
      </c>
      <c r="Q61" s="426">
        <f t="shared" si="8"/>
        <v>0</v>
      </c>
      <c r="R61" s="426">
        <f t="shared" si="39"/>
        <v>8336805</v>
      </c>
      <c r="S61" s="426">
        <f t="shared" si="40"/>
        <v>0</v>
      </c>
      <c r="T61" s="426">
        <f t="shared" si="9"/>
        <v>0</v>
      </c>
      <c r="U61" s="426">
        <f t="shared" si="10"/>
        <v>0</v>
      </c>
      <c r="V61" s="426">
        <f t="shared" si="11"/>
        <v>0</v>
      </c>
      <c r="W61" s="426">
        <f t="shared" si="12"/>
        <v>0</v>
      </c>
      <c r="X61" s="426">
        <f t="shared" si="13"/>
        <v>0</v>
      </c>
      <c r="Y61" s="426">
        <f t="shared" si="14"/>
        <v>0</v>
      </c>
      <c r="Z61" s="426">
        <f t="shared" si="15"/>
        <v>0</v>
      </c>
      <c r="AA61" s="426">
        <f t="shared" si="16"/>
        <v>0</v>
      </c>
      <c r="AB61" s="426">
        <f t="shared" si="17"/>
        <v>0</v>
      </c>
      <c r="AC61" s="426">
        <f t="shared" si="18"/>
        <v>0</v>
      </c>
      <c r="AD61" s="426">
        <f t="shared" si="19"/>
        <v>0</v>
      </c>
      <c r="AE61" s="426">
        <f t="shared" si="20"/>
        <v>0</v>
      </c>
      <c r="AF61" s="426">
        <f t="shared" si="21"/>
        <v>0</v>
      </c>
      <c r="AG61" s="426">
        <f t="shared" si="22"/>
        <v>0</v>
      </c>
      <c r="AH61" s="426">
        <f t="shared" si="23"/>
        <v>0</v>
      </c>
      <c r="AI61" s="426">
        <f t="shared" si="24"/>
        <v>0</v>
      </c>
      <c r="AJ61" s="426">
        <f t="shared" si="25"/>
        <v>0</v>
      </c>
      <c r="AK61" s="426">
        <f t="shared" si="26"/>
        <v>0</v>
      </c>
      <c r="AL61" s="426">
        <f t="shared" si="27"/>
        <v>0</v>
      </c>
      <c r="AM61" s="426">
        <f t="shared" si="28"/>
        <v>0</v>
      </c>
      <c r="AN61" s="426">
        <f t="shared" si="29"/>
        <v>0</v>
      </c>
      <c r="AO61" s="426">
        <f t="shared" si="30"/>
        <v>0</v>
      </c>
      <c r="AP61" s="426">
        <f t="shared" si="31"/>
        <v>0</v>
      </c>
      <c r="AQ61" s="426">
        <f t="shared" si="32"/>
        <v>0</v>
      </c>
      <c r="AR61" s="426">
        <f t="shared" si="33"/>
        <v>0</v>
      </c>
      <c r="AS61" s="426">
        <f t="shared" si="34"/>
        <v>0</v>
      </c>
      <c r="AT61" s="426">
        <f t="shared" si="35"/>
        <v>0</v>
      </c>
      <c r="AU61" s="426">
        <f t="shared" si="36"/>
        <v>0</v>
      </c>
      <c r="AV61" s="426">
        <f t="shared" si="37"/>
        <v>0</v>
      </c>
      <c r="AW61" s="426">
        <f t="shared" si="38"/>
        <v>0</v>
      </c>
    </row>
    <row r="62" spans="1:49" s="421" customFormat="1" ht="12" customHeight="1">
      <c r="A62" s="73">
        <f t="array" ref="A62">IF(C62&lt;&gt;0,SUM(($C$11:C62&lt;&gt;0)*1),"")</f>
        <v>52</v>
      </c>
      <c r="B62" s="422">
        <v>41993</v>
      </c>
      <c r="C62" s="316" t="s">
        <v>8</v>
      </c>
      <c r="D62" s="316">
        <v>41993</v>
      </c>
      <c r="E62" s="423" t="s">
        <v>85</v>
      </c>
      <c r="F62" s="75">
        <v>16673611</v>
      </c>
      <c r="G62" s="425" t="s">
        <v>248</v>
      </c>
      <c r="H62" s="425" t="s">
        <v>34</v>
      </c>
      <c r="I62" s="73">
        <f t="shared" si="0"/>
        <v>52</v>
      </c>
      <c r="J62" s="426">
        <f t="shared" si="1"/>
        <v>0</v>
      </c>
      <c r="K62" s="426">
        <f t="shared" si="2"/>
        <v>0</v>
      </c>
      <c r="L62" s="426">
        <f t="shared" si="3"/>
        <v>0</v>
      </c>
      <c r="M62" s="426">
        <f t="shared" si="4"/>
        <v>16673611</v>
      </c>
      <c r="N62" s="426">
        <f t="shared" si="5"/>
        <v>0</v>
      </c>
      <c r="O62" s="426">
        <f t="shared" si="6"/>
        <v>0</v>
      </c>
      <c r="P62" s="426">
        <f t="shared" si="7"/>
        <v>0</v>
      </c>
      <c r="Q62" s="426">
        <f t="shared" si="8"/>
        <v>0</v>
      </c>
      <c r="R62" s="426">
        <f t="shared" si="39"/>
        <v>16673611</v>
      </c>
      <c r="S62" s="426">
        <f t="shared" si="40"/>
        <v>0</v>
      </c>
      <c r="T62" s="426">
        <f t="shared" si="9"/>
        <v>0</v>
      </c>
      <c r="U62" s="426">
        <f t="shared" si="10"/>
        <v>0</v>
      </c>
      <c r="V62" s="426">
        <f t="shared" si="11"/>
        <v>0</v>
      </c>
      <c r="W62" s="426">
        <f t="shared" si="12"/>
        <v>0</v>
      </c>
      <c r="X62" s="426">
        <f t="shared" si="13"/>
        <v>0</v>
      </c>
      <c r="Y62" s="426">
        <f t="shared" si="14"/>
        <v>0</v>
      </c>
      <c r="Z62" s="426">
        <f t="shared" si="15"/>
        <v>0</v>
      </c>
      <c r="AA62" s="426">
        <f t="shared" si="16"/>
        <v>0</v>
      </c>
      <c r="AB62" s="426">
        <f t="shared" si="17"/>
        <v>0</v>
      </c>
      <c r="AC62" s="426">
        <f t="shared" si="18"/>
        <v>0</v>
      </c>
      <c r="AD62" s="426">
        <f t="shared" si="19"/>
        <v>0</v>
      </c>
      <c r="AE62" s="426">
        <f t="shared" si="20"/>
        <v>0</v>
      </c>
      <c r="AF62" s="426">
        <f t="shared" si="21"/>
        <v>0</v>
      </c>
      <c r="AG62" s="426">
        <f t="shared" si="22"/>
        <v>0</v>
      </c>
      <c r="AH62" s="426">
        <f t="shared" si="23"/>
        <v>0</v>
      </c>
      <c r="AI62" s="426">
        <f t="shared" si="24"/>
        <v>0</v>
      </c>
      <c r="AJ62" s="426">
        <f t="shared" si="25"/>
        <v>0</v>
      </c>
      <c r="AK62" s="426">
        <f t="shared" si="26"/>
        <v>0</v>
      </c>
      <c r="AL62" s="426">
        <f t="shared" si="27"/>
        <v>0</v>
      </c>
      <c r="AM62" s="426">
        <f t="shared" si="28"/>
        <v>0</v>
      </c>
      <c r="AN62" s="426">
        <f t="shared" si="29"/>
        <v>0</v>
      </c>
      <c r="AO62" s="426">
        <f t="shared" si="30"/>
        <v>0</v>
      </c>
      <c r="AP62" s="426">
        <f t="shared" si="31"/>
        <v>0</v>
      </c>
      <c r="AQ62" s="426">
        <f t="shared" si="32"/>
        <v>0</v>
      </c>
      <c r="AR62" s="426">
        <f t="shared" si="33"/>
        <v>0</v>
      </c>
      <c r="AS62" s="426">
        <f t="shared" si="34"/>
        <v>0</v>
      </c>
      <c r="AT62" s="426">
        <f t="shared" si="35"/>
        <v>0</v>
      </c>
      <c r="AU62" s="426">
        <f t="shared" si="36"/>
        <v>0</v>
      </c>
      <c r="AV62" s="426">
        <f t="shared" si="37"/>
        <v>0</v>
      </c>
      <c r="AW62" s="426">
        <f t="shared" si="38"/>
        <v>0</v>
      </c>
    </row>
    <row r="63" spans="1:49" s="421" customFormat="1" ht="12" customHeight="1">
      <c r="A63" s="73">
        <f t="array" ref="A63">IF(C63&lt;&gt;0,SUM(($C$11:C63&lt;&gt;0)*1),"")</f>
        <v>53</v>
      </c>
      <c r="B63" s="422">
        <v>41993</v>
      </c>
      <c r="C63" s="316" t="s">
        <v>8</v>
      </c>
      <c r="D63" s="316">
        <v>41993</v>
      </c>
      <c r="E63" s="423" t="s">
        <v>86</v>
      </c>
      <c r="F63" s="75">
        <v>25788519</v>
      </c>
      <c r="G63" s="425" t="s">
        <v>248</v>
      </c>
      <c r="H63" s="425" t="s">
        <v>34</v>
      </c>
      <c r="I63" s="73">
        <f t="shared" si="0"/>
        <v>53</v>
      </c>
      <c r="J63" s="426">
        <f t="shared" si="1"/>
        <v>0</v>
      </c>
      <c r="K63" s="426">
        <f t="shared" si="2"/>
        <v>0</v>
      </c>
      <c r="L63" s="426">
        <f t="shared" si="3"/>
        <v>0</v>
      </c>
      <c r="M63" s="426">
        <f t="shared" si="4"/>
        <v>25788519</v>
      </c>
      <c r="N63" s="426">
        <f t="shared" si="5"/>
        <v>0</v>
      </c>
      <c r="O63" s="426">
        <f t="shared" si="6"/>
        <v>0</v>
      </c>
      <c r="P63" s="426">
        <f t="shared" si="7"/>
        <v>0</v>
      </c>
      <c r="Q63" s="426">
        <f t="shared" si="8"/>
        <v>0</v>
      </c>
      <c r="R63" s="426">
        <f t="shared" si="39"/>
        <v>25788519</v>
      </c>
      <c r="S63" s="426">
        <f t="shared" si="40"/>
        <v>0</v>
      </c>
      <c r="T63" s="426">
        <f t="shared" si="9"/>
        <v>0</v>
      </c>
      <c r="U63" s="426">
        <f t="shared" si="10"/>
        <v>0</v>
      </c>
      <c r="V63" s="426">
        <f t="shared" si="11"/>
        <v>0</v>
      </c>
      <c r="W63" s="426">
        <f t="shared" si="12"/>
        <v>0</v>
      </c>
      <c r="X63" s="426">
        <f t="shared" si="13"/>
        <v>0</v>
      </c>
      <c r="Y63" s="426">
        <f t="shared" si="14"/>
        <v>0</v>
      </c>
      <c r="Z63" s="426">
        <f t="shared" si="15"/>
        <v>0</v>
      </c>
      <c r="AA63" s="426">
        <f t="shared" si="16"/>
        <v>0</v>
      </c>
      <c r="AB63" s="426">
        <f t="shared" si="17"/>
        <v>0</v>
      </c>
      <c r="AC63" s="426">
        <f t="shared" si="18"/>
        <v>0</v>
      </c>
      <c r="AD63" s="426">
        <f t="shared" si="19"/>
        <v>0</v>
      </c>
      <c r="AE63" s="426">
        <f t="shared" si="20"/>
        <v>0</v>
      </c>
      <c r="AF63" s="426">
        <f t="shared" si="21"/>
        <v>0</v>
      </c>
      <c r="AG63" s="426">
        <f t="shared" si="22"/>
        <v>0</v>
      </c>
      <c r="AH63" s="426">
        <f t="shared" si="23"/>
        <v>0</v>
      </c>
      <c r="AI63" s="426">
        <f t="shared" si="24"/>
        <v>0</v>
      </c>
      <c r="AJ63" s="426">
        <f t="shared" si="25"/>
        <v>0</v>
      </c>
      <c r="AK63" s="426">
        <f t="shared" si="26"/>
        <v>0</v>
      </c>
      <c r="AL63" s="426">
        <f t="shared" si="27"/>
        <v>0</v>
      </c>
      <c r="AM63" s="426">
        <f t="shared" si="28"/>
        <v>0</v>
      </c>
      <c r="AN63" s="426">
        <f t="shared" si="29"/>
        <v>0</v>
      </c>
      <c r="AO63" s="426">
        <f t="shared" si="30"/>
        <v>0</v>
      </c>
      <c r="AP63" s="426">
        <f t="shared" si="31"/>
        <v>0</v>
      </c>
      <c r="AQ63" s="426">
        <f t="shared" si="32"/>
        <v>0</v>
      </c>
      <c r="AR63" s="426">
        <f t="shared" si="33"/>
        <v>0</v>
      </c>
      <c r="AS63" s="426">
        <f t="shared" si="34"/>
        <v>0</v>
      </c>
      <c r="AT63" s="426">
        <f t="shared" si="35"/>
        <v>0</v>
      </c>
      <c r="AU63" s="426">
        <f t="shared" si="36"/>
        <v>0</v>
      </c>
      <c r="AV63" s="426">
        <f t="shared" si="37"/>
        <v>0</v>
      </c>
      <c r="AW63" s="426">
        <f t="shared" si="38"/>
        <v>0</v>
      </c>
    </row>
    <row r="64" spans="1:49" s="421" customFormat="1" ht="12" customHeight="1">
      <c r="A64" s="73">
        <f t="array" ref="A64">IF(C64&lt;&gt;0,SUM(($C$11:C64&lt;&gt;0)*1),"")</f>
        <v>54</v>
      </c>
      <c r="B64" s="422">
        <v>41996</v>
      </c>
      <c r="C64" s="316" t="s">
        <v>8</v>
      </c>
      <c r="D64" s="316">
        <v>41996</v>
      </c>
      <c r="E64" s="423" t="s">
        <v>28</v>
      </c>
      <c r="F64" s="75">
        <v>50000</v>
      </c>
      <c r="G64" s="425" t="s">
        <v>348</v>
      </c>
      <c r="H64" s="425" t="s">
        <v>34</v>
      </c>
      <c r="I64" s="73">
        <f t="shared" si="0"/>
        <v>54</v>
      </c>
      <c r="J64" s="426">
        <f t="shared" si="1"/>
        <v>0</v>
      </c>
      <c r="K64" s="426">
        <f t="shared" si="2"/>
        <v>0</v>
      </c>
      <c r="L64" s="426">
        <f t="shared" si="3"/>
        <v>0</v>
      </c>
      <c r="M64" s="426">
        <f t="shared" si="4"/>
        <v>50000</v>
      </c>
      <c r="N64" s="426">
        <f t="shared" si="5"/>
        <v>0</v>
      </c>
      <c r="O64" s="426">
        <f t="shared" si="6"/>
        <v>0</v>
      </c>
      <c r="P64" s="426">
        <f t="shared" si="7"/>
        <v>0</v>
      </c>
      <c r="Q64" s="426">
        <f t="shared" si="8"/>
        <v>0</v>
      </c>
      <c r="R64" s="426">
        <f t="shared" si="39"/>
        <v>0</v>
      </c>
      <c r="S64" s="426">
        <f t="shared" si="40"/>
        <v>0</v>
      </c>
      <c r="T64" s="426">
        <f t="shared" si="9"/>
        <v>0</v>
      </c>
      <c r="U64" s="426">
        <f t="shared" si="10"/>
        <v>0</v>
      </c>
      <c r="V64" s="426">
        <f t="shared" si="11"/>
        <v>0</v>
      </c>
      <c r="W64" s="426">
        <f t="shared" si="12"/>
        <v>0</v>
      </c>
      <c r="X64" s="426">
        <f t="shared" si="13"/>
        <v>0</v>
      </c>
      <c r="Y64" s="426">
        <f t="shared" si="14"/>
        <v>0</v>
      </c>
      <c r="Z64" s="426">
        <f t="shared" si="15"/>
        <v>0</v>
      </c>
      <c r="AA64" s="426">
        <f t="shared" si="16"/>
        <v>0</v>
      </c>
      <c r="AB64" s="426">
        <f t="shared" si="17"/>
        <v>0</v>
      </c>
      <c r="AC64" s="426">
        <f t="shared" si="18"/>
        <v>0</v>
      </c>
      <c r="AD64" s="426">
        <f t="shared" si="19"/>
        <v>0</v>
      </c>
      <c r="AE64" s="426">
        <f t="shared" si="20"/>
        <v>0</v>
      </c>
      <c r="AF64" s="426">
        <f t="shared" si="21"/>
        <v>0</v>
      </c>
      <c r="AG64" s="426">
        <f t="shared" si="22"/>
        <v>0</v>
      </c>
      <c r="AH64" s="426">
        <f t="shared" si="23"/>
        <v>0</v>
      </c>
      <c r="AI64" s="426">
        <f t="shared" si="24"/>
        <v>0</v>
      </c>
      <c r="AJ64" s="426">
        <f t="shared" si="25"/>
        <v>0</v>
      </c>
      <c r="AK64" s="426">
        <f t="shared" si="26"/>
        <v>0</v>
      </c>
      <c r="AL64" s="426">
        <f t="shared" si="27"/>
        <v>0</v>
      </c>
      <c r="AM64" s="426">
        <f t="shared" si="28"/>
        <v>0</v>
      </c>
      <c r="AN64" s="426">
        <f t="shared" si="29"/>
        <v>0</v>
      </c>
      <c r="AO64" s="426">
        <f t="shared" si="30"/>
        <v>0</v>
      </c>
      <c r="AP64" s="426">
        <f t="shared" si="31"/>
        <v>0</v>
      </c>
      <c r="AQ64" s="426">
        <f t="shared" si="32"/>
        <v>0</v>
      </c>
      <c r="AR64" s="426">
        <f t="shared" si="33"/>
        <v>0</v>
      </c>
      <c r="AS64" s="426">
        <f t="shared" si="34"/>
        <v>0</v>
      </c>
      <c r="AT64" s="426">
        <f t="shared" si="35"/>
        <v>0</v>
      </c>
      <c r="AU64" s="426">
        <f t="shared" si="36"/>
        <v>0</v>
      </c>
      <c r="AV64" s="426">
        <f t="shared" si="37"/>
        <v>0</v>
      </c>
      <c r="AW64" s="426">
        <f t="shared" si="38"/>
        <v>0</v>
      </c>
    </row>
    <row r="65" spans="1:49" s="421" customFormat="1" ht="12" customHeight="1">
      <c r="A65" s="73">
        <f t="array" ref="A65">IF(C65&lt;&gt;0,SUM(($C$11:C65&lt;&gt;0)*1),"")</f>
        <v>55</v>
      </c>
      <c r="B65" s="422">
        <v>41996</v>
      </c>
      <c r="C65" s="316" t="s">
        <v>8</v>
      </c>
      <c r="D65" s="316">
        <v>41996</v>
      </c>
      <c r="E65" s="423" t="s">
        <v>345</v>
      </c>
      <c r="F65" s="75">
        <v>5000</v>
      </c>
      <c r="G65" s="425" t="s">
        <v>10</v>
      </c>
      <c r="H65" s="425" t="s">
        <v>34</v>
      </c>
      <c r="I65" s="73">
        <f t="shared" si="0"/>
        <v>55</v>
      </c>
      <c r="J65" s="426">
        <f t="shared" si="1"/>
        <v>0</v>
      </c>
      <c r="K65" s="426">
        <f t="shared" si="2"/>
        <v>0</v>
      </c>
      <c r="L65" s="426">
        <f t="shared" si="3"/>
        <v>0</v>
      </c>
      <c r="M65" s="426">
        <f t="shared" si="4"/>
        <v>5000</v>
      </c>
      <c r="N65" s="426">
        <f t="shared" si="5"/>
        <v>5000</v>
      </c>
      <c r="O65" s="426">
        <f t="shared" si="6"/>
        <v>0</v>
      </c>
      <c r="P65" s="426">
        <f t="shared" si="7"/>
        <v>0</v>
      </c>
      <c r="Q65" s="426">
        <f t="shared" si="8"/>
        <v>0</v>
      </c>
      <c r="R65" s="426">
        <f t="shared" si="39"/>
        <v>0</v>
      </c>
      <c r="S65" s="426">
        <f t="shared" si="40"/>
        <v>0</v>
      </c>
      <c r="T65" s="426">
        <f t="shared" si="9"/>
        <v>0</v>
      </c>
      <c r="U65" s="426">
        <f t="shared" si="10"/>
        <v>0</v>
      </c>
      <c r="V65" s="426">
        <f t="shared" si="11"/>
        <v>0</v>
      </c>
      <c r="W65" s="426">
        <f t="shared" si="12"/>
        <v>0</v>
      </c>
      <c r="X65" s="426">
        <f t="shared" si="13"/>
        <v>0</v>
      </c>
      <c r="Y65" s="426">
        <f t="shared" si="14"/>
        <v>0</v>
      </c>
      <c r="Z65" s="426">
        <f t="shared" si="15"/>
        <v>0</v>
      </c>
      <c r="AA65" s="426">
        <f t="shared" si="16"/>
        <v>0</v>
      </c>
      <c r="AB65" s="426">
        <f t="shared" si="17"/>
        <v>0</v>
      </c>
      <c r="AC65" s="426">
        <f t="shared" si="18"/>
        <v>0</v>
      </c>
      <c r="AD65" s="426">
        <f t="shared" si="19"/>
        <v>0</v>
      </c>
      <c r="AE65" s="426">
        <f t="shared" si="20"/>
        <v>0</v>
      </c>
      <c r="AF65" s="426">
        <f t="shared" si="21"/>
        <v>0</v>
      </c>
      <c r="AG65" s="426">
        <f t="shared" si="22"/>
        <v>0</v>
      </c>
      <c r="AH65" s="426">
        <f t="shared" si="23"/>
        <v>0</v>
      </c>
      <c r="AI65" s="426">
        <f t="shared" si="24"/>
        <v>0</v>
      </c>
      <c r="AJ65" s="426">
        <f t="shared" si="25"/>
        <v>0</v>
      </c>
      <c r="AK65" s="426">
        <f t="shared" si="26"/>
        <v>0</v>
      </c>
      <c r="AL65" s="426">
        <f t="shared" si="27"/>
        <v>0</v>
      </c>
      <c r="AM65" s="426">
        <f t="shared" si="28"/>
        <v>0</v>
      </c>
      <c r="AN65" s="426">
        <f t="shared" si="29"/>
        <v>0</v>
      </c>
      <c r="AO65" s="426">
        <f t="shared" si="30"/>
        <v>0</v>
      </c>
      <c r="AP65" s="426">
        <f t="shared" si="31"/>
        <v>0</v>
      </c>
      <c r="AQ65" s="426">
        <f t="shared" si="32"/>
        <v>0</v>
      </c>
      <c r="AR65" s="426">
        <f t="shared" si="33"/>
        <v>0</v>
      </c>
      <c r="AS65" s="426">
        <f t="shared" si="34"/>
        <v>0</v>
      </c>
      <c r="AT65" s="426">
        <f t="shared" si="35"/>
        <v>0</v>
      </c>
      <c r="AU65" s="426">
        <f t="shared" si="36"/>
        <v>0</v>
      </c>
      <c r="AV65" s="426">
        <f t="shared" si="37"/>
        <v>0</v>
      </c>
      <c r="AW65" s="426">
        <f t="shared" si="38"/>
        <v>0</v>
      </c>
    </row>
    <row r="66" spans="1:49" s="421" customFormat="1" ht="12" customHeight="1">
      <c r="A66" s="73">
        <f t="array" ref="A66">IF(C66&lt;&gt;0,SUM(($C$11:C66&lt;&gt;0)*1),"")</f>
        <v>56</v>
      </c>
      <c r="B66" s="422">
        <v>41996</v>
      </c>
      <c r="C66" s="316" t="s">
        <v>8</v>
      </c>
      <c r="D66" s="316">
        <v>41996</v>
      </c>
      <c r="E66" s="423" t="s">
        <v>346</v>
      </c>
      <c r="F66" s="75">
        <v>50000</v>
      </c>
      <c r="G66" s="425" t="s">
        <v>348</v>
      </c>
      <c r="H66" s="425" t="s">
        <v>34</v>
      </c>
      <c r="I66" s="73">
        <f t="shared" si="0"/>
        <v>56</v>
      </c>
      <c r="J66" s="426">
        <f t="shared" si="1"/>
        <v>0</v>
      </c>
      <c r="K66" s="426">
        <f t="shared" si="2"/>
        <v>0</v>
      </c>
      <c r="L66" s="426">
        <f t="shared" si="3"/>
        <v>0</v>
      </c>
      <c r="M66" s="426">
        <f t="shared" si="4"/>
        <v>50000</v>
      </c>
      <c r="N66" s="426">
        <f t="shared" si="5"/>
        <v>0</v>
      </c>
      <c r="O66" s="426">
        <f t="shared" si="6"/>
        <v>0</v>
      </c>
      <c r="P66" s="426">
        <f t="shared" si="7"/>
        <v>0</v>
      </c>
      <c r="Q66" s="426">
        <f t="shared" si="8"/>
        <v>0</v>
      </c>
      <c r="R66" s="426">
        <f t="shared" si="39"/>
        <v>0</v>
      </c>
      <c r="S66" s="426">
        <f t="shared" si="40"/>
        <v>0</v>
      </c>
      <c r="T66" s="426">
        <f t="shared" si="9"/>
        <v>0</v>
      </c>
      <c r="U66" s="426">
        <f t="shared" si="10"/>
        <v>0</v>
      </c>
      <c r="V66" s="426">
        <f t="shared" si="11"/>
        <v>0</v>
      </c>
      <c r="W66" s="426">
        <f t="shared" si="12"/>
        <v>0</v>
      </c>
      <c r="X66" s="426">
        <f t="shared" si="13"/>
        <v>0</v>
      </c>
      <c r="Y66" s="426">
        <f t="shared" si="14"/>
        <v>0</v>
      </c>
      <c r="Z66" s="426">
        <f t="shared" si="15"/>
        <v>0</v>
      </c>
      <c r="AA66" s="426">
        <f t="shared" si="16"/>
        <v>0</v>
      </c>
      <c r="AB66" s="426">
        <f t="shared" si="17"/>
        <v>0</v>
      </c>
      <c r="AC66" s="426">
        <f t="shared" si="18"/>
        <v>0</v>
      </c>
      <c r="AD66" s="426">
        <f t="shared" si="19"/>
        <v>0</v>
      </c>
      <c r="AE66" s="426">
        <f t="shared" si="20"/>
        <v>0</v>
      </c>
      <c r="AF66" s="426">
        <f t="shared" si="21"/>
        <v>0</v>
      </c>
      <c r="AG66" s="426">
        <f t="shared" si="22"/>
        <v>0</v>
      </c>
      <c r="AH66" s="426">
        <f t="shared" si="23"/>
        <v>0</v>
      </c>
      <c r="AI66" s="426">
        <f t="shared" si="24"/>
        <v>0</v>
      </c>
      <c r="AJ66" s="426">
        <f t="shared" si="25"/>
        <v>0</v>
      </c>
      <c r="AK66" s="426">
        <f t="shared" si="26"/>
        <v>0</v>
      </c>
      <c r="AL66" s="426">
        <f t="shared" si="27"/>
        <v>0</v>
      </c>
      <c r="AM66" s="426">
        <f t="shared" si="28"/>
        <v>0</v>
      </c>
      <c r="AN66" s="426">
        <f t="shared" si="29"/>
        <v>0</v>
      </c>
      <c r="AO66" s="426">
        <f t="shared" si="30"/>
        <v>0</v>
      </c>
      <c r="AP66" s="426">
        <f t="shared" si="31"/>
        <v>0</v>
      </c>
      <c r="AQ66" s="426">
        <f t="shared" si="32"/>
        <v>0</v>
      </c>
      <c r="AR66" s="426">
        <f t="shared" si="33"/>
        <v>0</v>
      </c>
      <c r="AS66" s="426">
        <f t="shared" si="34"/>
        <v>0</v>
      </c>
      <c r="AT66" s="426">
        <f t="shared" si="35"/>
        <v>0</v>
      </c>
      <c r="AU66" s="426">
        <f t="shared" si="36"/>
        <v>0</v>
      </c>
      <c r="AV66" s="426">
        <f t="shared" si="37"/>
        <v>0</v>
      </c>
      <c r="AW66" s="426">
        <f t="shared" si="38"/>
        <v>0</v>
      </c>
    </row>
    <row r="67" spans="1:49" s="421" customFormat="1" ht="12" customHeight="1">
      <c r="A67" s="73">
        <f t="array" ref="A67">IF(C67&lt;&gt;0,SUM(($C$11:C67&lt;&gt;0)*1),"")</f>
        <v>57</v>
      </c>
      <c r="B67" s="422">
        <v>41996</v>
      </c>
      <c r="C67" s="316" t="s">
        <v>8</v>
      </c>
      <c r="D67" s="316">
        <v>41996</v>
      </c>
      <c r="E67" s="423" t="s">
        <v>345</v>
      </c>
      <c r="F67" s="75">
        <v>5000</v>
      </c>
      <c r="G67" s="425" t="s">
        <v>10</v>
      </c>
      <c r="H67" s="425" t="s">
        <v>34</v>
      </c>
      <c r="I67" s="73">
        <f t="shared" si="0"/>
        <v>57</v>
      </c>
      <c r="J67" s="426">
        <f t="shared" si="1"/>
        <v>0</v>
      </c>
      <c r="K67" s="426">
        <f t="shared" si="2"/>
        <v>0</v>
      </c>
      <c r="L67" s="426">
        <f t="shared" si="3"/>
        <v>0</v>
      </c>
      <c r="M67" s="426">
        <f t="shared" si="4"/>
        <v>5000</v>
      </c>
      <c r="N67" s="426">
        <f t="shared" si="5"/>
        <v>5000</v>
      </c>
      <c r="O67" s="426">
        <f t="shared" si="6"/>
        <v>0</v>
      </c>
      <c r="P67" s="426">
        <f t="shared" si="7"/>
        <v>0</v>
      </c>
      <c r="Q67" s="426">
        <f t="shared" si="8"/>
        <v>0</v>
      </c>
      <c r="R67" s="426">
        <f t="shared" si="39"/>
        <v>0</v>
      </c>
      <c r="S67" s="426">
        <f t="shared" si="40"/>
        <v>0</v>
      </c>
      <c r="T67" s="426">
        <f t="shared" si="9"/>
        <v>0</v>
      </c>
      <c r="U67" s="426">
        <f t="shared" si="10"/>
        <v>0</v>
      </c>
      <c r="V67" s="426">
        <f t="shared" si="11"/>
        <v>0</v>
      </c>
      <c r="W67" s="426">
        <f t="shared" si="12"/>
        <v>0</v>
      </c>
      <c r="X67" s="426">
        <f t="shared" si="13"/>
        <v>0</v>
      </c>
      <c r="Y67" s="426">
        <f t="shared" si="14"/>
        <v>0</v>
      </c>
      <c r="Z67" s="426">
        <f t="shared" si="15"/>
        <v>0</v>
      </c>
      <c r="AA67" s="426">
        <f t="shared" si="16"/>
        <v>0</v>
      </c>
      <c r="AB67" s="426">
        <f t="shared" si="17"/>
        <v>0</v>
      </c>
      <c r="AC67" s="426">
        <f t="shared" si="18"/>
        <v>0</v>
      </c>
      <c r="AD67" s="426">
        <f t="shared" si="19"/>
        <v>0</v>
      </c>
      <c r="AE67" s="426">
        <f t="shared" si="20"/>
        <v>0</v>
      </c>
      <c r="AF67" s="426">
        <f t="shared" si="21"/>
        <v>0</v>
      </c>
      <c r="AG67" s="426">
        <f t="shared" si="22"/>
        <v>0</v>
      </c>
      <c r="AH67" s="426">
        <f t="shared" si="23"/>
        <v>0</v>
      </c>
      <c r="AI67" s="426">
        <f t="shared" si="24"/>
        <v>0</v>
      </c>
      <c r="AJ67" s="426">
        <f t="shared" si="25"/>
        <v>0</v>
      </c>
      <c r="AK67" s="426">
        <f t="shared" si="26"/>
        <v>0</v>
      </c>
      <c r="AL67" s="426">
        <f t="shared" si="27"/>
        <v>0</v>
      </c>
      <c r="AM67" s="426">
        <f t="shared" si="28"/>
        <v>0</v>
      </c>
      <c r="AN67" s="426">
        <f t="shared" si="29"/>
        <v>0</v>
      </c>
      <c r="AO67" s="426">
        <f t="shared" si="30"/>
        <v>0</v>
      </c>
      <c r="AP67" s="426">
        <f t="shared" si="31"/>
        <v>0</v>
      </c>
      <c r="AQ67" s="426">
        <f t="shared" si="32"/>
        <v>0</v>
      </c>
      <c r="AR67" s="426">
        <f t="shared" si="33"/>
        <v>0</v>
      </c>
      <c r="AS67" s="426">
        <f t="shared" si="34"/>
        <v>0</v>
      </c>
      <c r="AT67" s="426">
        <f t="shared" si="35"/>
        <v>0</v>
      </c>
      <c r="AU67" s="426">
        <f t="shared" si="36"/>
        <v>0</v>
      </c>
      <c r="AV67" s="426">
        <f t="shared" si="37"/>
        <v>0</v>
      </c>
      <c r="AW67" s="426">
        <f t="shared" si="38"/>
        <v>0</v>
      </c>
    </row>
    <row r="68" spans="1:49" s="421" customFormat="1" ht="12" customHeight="1">
      <c r="A68" s="73">
        <f t="array" ref="A68">IF(C68&lt;&gt;0,SUM(($C$11:C68&lt;&gt;0)*1),"")</f>
        <v>58</v>
      </c>
      <c r="B68" s="422">
        <v>41996</v>
      </c>
      <c r="C68" s="316" t="s">
        <v>8</v>
      </c>
      <c r="D68" s="316">
        <v>41996</v>
      </c>
      <c r="E68" s="423" t="s">
        <v>29</v>
      </c>
      <c r="F68" s="75">
        <v>50000</v>
      </c>
      <c r="G68" s="425" t="s">
        <v>348</v>
      </c>
      <c r="H68" s="425" t="s">
        <v>34</v>
      </c>
      <c r="I68" s="73">
        <f t="shared" si="0"/>
        <v>58</v>
      </c>
      <c r="J68" s="426">
        <f t="shared" si="1"/>
        <v>0</v>
      </c>
      <c r="K68" s="426">
        <f t="shared" si="2"/>
        <v>0</v>
      </c>
      <c r="L68" s="426">
        <f t="shared" si="3"/>
        <v>0</v>
      </c>
      <c r="M68" s="426">
        <f t="shared" si="4"/>
        <v>50000</v>
      </c>
      <c r="N68" s="426">
        <f t="shared" si="5"/>
        <v>0</v>
      </c>
      <c r="O68" s="426">
        <f t="shared" si="6"/>
        <v>0</v>
      </c>
      <c r="P68" s="426">
        <f t="shared" si="7"/>
        <v>0</v>
      </c>
      <c r="Q68" s="426">
        <f t="shared" si="8"/>
        <v>0</v>
      </c>
      <c r="R68" s="426">
        <f t="shared" si="39"/>
        <v>0</v>
      </c>
      <c r="S68" s="426">
        <f t="shared" si="40"/>
        <v>0</v>
      </c>
      <c r="T68" s="426">
        <f t="shared" si="9"/>
        <v>0</v>
      </c>
      <c r="U68" s="426">
        <f t="shared" si="10"/>
        <v>0</v>
      </c>
      <c r="V68" s="426">
        <f t="shared" si="11"/>
        <v>0</v>
      </c>
      <c r="W68" s="426">
        <f t="shared" si="12"/>
        <v>0</v>
      </c>
      <c r="X68" s="426">
        <f t="shared" si="13"/>
        <v>0</v>
      </c>
      <c r="Y68" s="426">
        <f t="shared" si="14"/>
        <v>0</v>
      </c>
      <c r="Z68" s="426">
        <f t="shared" si="15"/>
        <v>0</v>
      </c>
      <c r="AA68" s="426">
        <f t="shared" si="16"/>
        <v>0</v>
      </c>
      <c r="AB68" s="426">
        <f t="shared" si="17"/>
        <v>0</v>
      </c>
      <c r="AC68" s="426">
        <f t="shared" si="18"/>
        <v>0</v>
      </c>
      <c r="AD68" s="426">
        <f t="shared" si="19"/>
        <v>0</v>
      </c>
      <c r="AE68" s="426">
        <f t="shared" si="20"/>
        <v>0</v>
      </c>
      <c r="AF68" s="426">
        <f t="shared" si="21"/>
        <v>0</v>
      </c>
      <c r="AG68" s="426">
        <f t="shared" si="22"/>
        <v>0</v>
      </c>
      <c r="AH68" s="426">
        <f t="shared" si="23"/>
        <v>0</v>
      </c>
      <c r="AI68" s="426">
        <f t="shared" si="24"/>
        <v>0</v>
      </c>
      <c r="AJ68" s="426">
        <f t="shared" si="25"/>
        <v>0</v>
      </c>
      <c r="AK68" s="426">
        <f t="shared" si="26"/>
        <v>0</v>
      </c>
      <c r="AL68" s="426">
        <f t="shared" si="27"/>
        <v>0</v>
      </c>
      <c r="AM68" s="426">
        <f t="shared" si="28"/>
        <v>0</v>
      </c>
      <c r="AN68" s="426">
        <f t="shared" si="29"/>
        <v>0</v>
      </c>
      <c r="AO68" s="426">
        <f t="shared" si="30"/>
        <v>0</v>
      </c>
      <c r="AP68" s="426">
        <f t="shared" si="31"/>
        <v>0</v>
      </c>
      <c r="AQ68" s="426">
        <f t="shared" si="32"/>
        <v>0</v>
      </c>
      <c r="AR68" s="426">
        <f t="shared" si="33"/>
        <v>0</v>
      </c>
      <c r="AS68" s="426">
        <f t="shared" si="34"/>
        <v>0</v>
      </c>
      <c r="AT68" s="426">
        <f t="shared" si="35"/>
        <v>0</v>
      </c>
      <c r="AU68" s="426">
        <f t="shared" si="36"/>
        <v>0</v>
      </c>
      <c r="AV68" s="426">
        <f t="shared" si="37"/>
        <v>0</v>
      </c>
      <c r="AW68" s="426">
        <f t="shared" si="38"/>
        <v>0</v>
      </c>
    </row>
    <row r="69" spans="1:49" s="421" customFormat="1" ht="12" customHeight="1">
      <c r="A69" s="73">
        <f t="array" ref="A69">IF(C69&lt;&gt;0,SUM(($C$11:C69&lt;&gt;0)*1),"")</f>
        <v>59</v>
      </c>
      <c r="B69" s="422">
        <v>41996</v>
      </c>
      <c r="C69" s="316" t="s">
        <v>8</v>
      </c>
      <c r="D69" s="316">
        <v>41996</v>
      </c>
      <c r="E69" s="423" t="s">
        <v>345</v>
      </c>
      <c r="F69" s="75">
        <v>5000</v>
      </c>
      <c r="G69" s="425" t="s">
        <v>10</v>
      </c>
      <c r="H69" s="425" t="s">
        <v>34</v>
      </c>
      <c r="I69" s="73">
        <f t="shared" si="0"/>
        <v>59</v>
      </c>
      <c r="J69" s="426">
        <f t="shared" si="1"/>
        <v>0</v>
      </c>
      <c r="K69" s="426">
        <f t="shared" si="2"/>
        <v>0</v>
      </c>
      <c r="L69" s="426">
        <f t="shared" si="3"/>
        <v>0</v>
      </c>
      <c r="M69" s="426">
        <f t="shared" si="4"/>
        <v>5000</v>
      </c>
      <c r="N69" s="426">
        <f t="shared" si="5"/>
        <v>5000</v>
      </c>
      <c r="O69" s="426">
        <f t="shared" si="6"/>
        <v>0</v>
      </c>
      <c r="P69" s="426">
        <f t="shared" si="7"/>
        <v>0</v>
      </c>
      <c r="Q69" s="426">
        <f t="shared" si="8"/>
        <v>0</v>
      </c>
      <c r="R69" s="426">
        <f t="shared" si="39"/>
        <v>0</v>
      </c>
      <c r="S69" s="426">
        <f t="shared" si="40"/>
        <v>0</v>
      </c>
      <c r="T69" s="426">
        <f t="shared" si="9"/>
        <v>0</v>
      </c>
      <c r="U69" s="426">
        <f t="shared" si="10"/>
        <v>0</v>
      </c>
      <c r="V69" s="426">
        <f t="shared" si="11"/>
        <v>0</v>
      </c>
      <c r="W69" s="426">
        <f t="shared" si="12"/>
        <v>0</v>
      </c>
      <c r="X69" s="426">
        <f t="shared" si="13"/>
        <v>0</v>
      </c>
      <c r="Y69" s="426">
        <f t="shared" si="14"/>
        <v>0</v>
      </c>
      <c r="Z69" s="426">
        <f t="shared" si="15"/>
        <v>0</v>
      </c>
      <c r="AA69" s="426">
        <f t="shared" si="16"/>
        <v>0</v>
      </c>
      <c r="AB69" s="426">
        <f t="shared" si="17"/>
        <v>0</v>
      </c>
      <c r="AC69" s="426">
        <f t="shared" si="18"/>
        <v>0</v>
      </c>
      <c r="AD69" s="426">
        <f t="shared" si="19"/>
        <v>0</v>
      </c>
      <c r="AE69" s="426">
        <f t="shared" si="20"/>
        <v>0</v>
      </c>
      <c r="AF69" s="426">
        <f t="shared" si="21"/>
        <v>0</v>
      </c>
      <c r="AG69" s="426">
        <f t="shared" si="22"/>
        <v>0</v>
      </c>
      <c r="AH69" s="426">
        <f t="shared" si="23"/>
        <v>0</v>
      </c>
      <c r="AI69" s="426">
        <f t="shared" si="24"/>
        <v>0</v>
      </c>
      <c r="AJ69" s="426">
        <f t="shared" si="25"/>
        <v>0</v>
      </c>
      <c r="AK69" s="426">
        <f t="shared" si="26"/>
        <v>0</v>
      </c>
      <c r="AL69" s="426">
        <f t="shared" si="27"/>
        <v>0</v>
      </c>
      <c r="AM69" s="426">
        <f t="shared" si="28"/>
        <v>0</v>
      </c>
      <c r="AN69" s="426">
        <f t="shared" si="29"/>
        <v>0</v>
      </c>
      <c r="AO69" s="426">
        <f t="shared" si="30"/>
        <v>0</v>
      </c>
      <c r="AP69" s="426">
        <f t="shared" si="31"/>
        <v>0</v>
      </c>
      <c r="AQ69" s="426">
        <f t="shared" si="32"/>
        <v>0</v>
      </c>
      <c r="AR69" s="426">
        <f t="shared" si="33"/>
        <v>0</v>
      </c>
      <c r="AS69" s="426">
        <f t="shared" si="34"/>
        <v>0</v>
      </c>
      <c r="AT69" s="426">
        <f t="shared" si="35"/>
        <v>0</v>
      </c>
      <c r="AU69" s="426">
        <f t="shared" si="36"/>
        <v>0</v>
      </c>
      <c r="AV69" s="426">
        <f t="shared" si="37"/>
        <v>0</v>
      </c>
      <c r="AW69" s="426">
        <f t="shared" si="38"/>
        <v>0</v>
      </c>
    </row>
    <row r="70" spans="1:49" s="421" customFormat="1" ht="12" customHeight="1">
      <c r="A70" s="73">
        <f t="array" ref="A70">IF(C70&lt;&gt;0,SUM(($C$11:C70&lt;&gt;0)*1),"")</f>
        <v>60</v>
      </c>
      <c r="B70" s="422">
        <v>41998</v>
      </c>
      <c r="C70" s="316" t="s">
        <v>11</v>
      </c>
      <c r="D70" s="422">
        <v>41998</v>
      </c>
      <c r="E70" s="423" t="s">
        <v>66</v>
      </c>
      <c r="F70" s="75">
        <v>125079</v>
      </c>
      <c r="G70" s="425" t="s">
        <v>34</v>
      </c>
      <c r="H70" s="425" t="s">
        <v>67</v>
      </c>
      <c r="I70" s="73">
        <f t="shared" si="0"/>
        <v>60</v>
      </c>
      <c r="J70" s="426">
        <f t="shared" si="1"/>
        <v>0</v>
      </c>
      <c r="K70" s="426">
        <f t="shared" si="2"/>
        <v>0</v>
      </c>
      <c r="L70" s="426">
        <f t="shared" si="3"/>
        <v>125079</v>
      </c>
      <c r="M70" s="426">
        <f t="shared" si="4"/>
        <v>0</v>
      </c>
      <c r="N70" s="426">
        <f t="shared" si="5"/>
        <v>0</v>
      </c>
      <c r="O70" s="426">
        <f t="shared" si="6"/>
        <v>0</v>
      </c>
      <c r="P70" s="426">
        <f t="shared" si="7"/>
        <v>0</v>
      </c>
      <c r="Q70" s="426">
        <f t="shared" si="8"/>
        <v>0</v>
      </c>
      <c r="R70" s="426">
        <f t="shared" si="39"/>
        <v>0</v>
      </c>
      <c r="S70" s="426">
        <f t="shared" si="40"/>
        <v>0</v>
      </c>
      <c r="T70" s="426">
        <f t="shared" si="9"/>
        <v>0</v>
      </c>
      <c r="U70" s="426">
        <f t="shared" si="10"/>
        <v>0</v>
      </c>
      <c r="V70" s="426">
        <f t="shared" si="11"/>
        <v>0</v>
      </c>
      <c r="W70" s="426">
        <f t="shared" si="12"/>
        <v>0</v>
      </c>
      <c r="X70" s="426">
        <f t="shared" si="13"/>
        <v>0</v>
      </c>
      <c r="Y70" s="426">
        <f t="shared" si="14"/>
        <v>0</v>
      </c>
      <c r="Z70" s="426">
        <f t="shared" si="15"/>
        <v>0</v>
      </c>
      <c r="AA70" s="426">
        <f t="shared" si="16"/>
        <v>0</v>
      </c>
      <c r="AB70" s="426">
        <f t="shared" si="17"/>
        <v>0</v>
      </c>
      <c r="AC70" s="426">
        <f t="shared" si="18"/>
        <v>0</v>
      </c>
      <c r="AD70" s="426">
        <f t="shared" si="19"/>
        <v>0</v>
      </c>
      <c r="AE70" s="426">
        <f t="shared" si="20"/>
        <v>0</v>
      </c>
      <c r="AF70" s="426">
        <f t="shared" si="21"/>
        <v>0</v>
      </c>
      <c r="AG70" s="426">
        <f t="shared" si="22"/>
        <v>0</v>
      </c>
      <c r="AH70" s="426">
        <f t="shared" si="23"/>
        <v>0</v>
      </c>
      <c r="AI70" s="426">
        <f t="shared" si="24"/>
        <v>0</v>
      </c>
      <c r="AJ70" s="426">
        <f t="shared" si="25"/>
        <v>0</v>
      </c>
      <c r="AK70" s="426">
        <f t="shared" si="26"/>
        <v>125079</v>
      </c>
      <c r="AL70" s="426">
        <f t="shared" si="27"/>
        <v>0</v>
      </c>
      <c r="AM70" s="426">
        <f t="shared" si="28"/>
        <v>0</v>
      </c>
      <c r="AN70" s="426">
        <f t="shared" si="29"/>
        <v>0</v>
      </c>
      <c r="AO70" s="426">
        <f t="shared" si="30"/>
        <v>0</v>
      </c>
      <c r="AP70" s="426">
        <f t="shared" si="31"/>
        <v>0</v>
      </c>
      <c r="AQ70" s="426">
        <f t="shared" si="32"/>
        <v>0</v>
      </c>
      <c r="AR70" s="426">
        <f t="shared" si="33"/>
        <v>0</v>
      </c>
      <c r="AS70" s="426">
        <f t="shared" si="34"/>
        <v>0</v>
      </c>
      <c r="AT70" s="426">
        <f t="shared" si="35"/>
        <v>0</v>
      </c>
      <c r="AU70" s="426">
        <f t="shared" si="36"/>
        <v>0</v>
      </c>
      <c r="AV70" s="426">
        <f t="shared" si="37"/>
        <v>0</v>
      </c>
      <c r="AW70" s="426">
        <f t="shared" si="38"/>
        <v>0</v>
      </c>
    </row>
    <row r="71" spans="1:49" s="421" customFormat="1" ht="12" customHeight="1">
      <c r="A71" s="73">
        <f t="array" ref="A71">IF(C71&lt;&gt;0,SUM(($C$11:C71&lt;&gt;0)*1),"")</f>
        <v>61</v>
      </c>
      <c r="B71" s="316">
        <v>41993</v>
      </c>
      <c r="C71" s="316" t="s">
        <v>101</v>
      </c>
      <c r="D71" s="316">
        <v>41993</v>
      </c>
      <c r="E71" s="423" t="s">
        <v>342</v>
      </c>
      <c r="F71" s="75">
        <v>1000000</v>
      </c>
      <c r="G71" s="425" t="s">
        <v>34</v>
      </c>
      <c r="H71" s="425" t="s">
        <v>120</v>
      </c>
      <c r="I71" s="73">
        <f t="shared" si="0"/>
        <v>61</v>
      </c>
      <c r="J71" s="426">
        <f t="shared" si="1"/>
        <v>0</v>
      </c>
      <c r="K71" s="426">
        <f t="shared" si="2"/>
        <v>1000000</v>
      </c>
      <c r="L71" s="426">
        <f t="shared" si="3"/>
        <v>1000000</v>
      </c>
      <c r="M71" s="426">
        <f t="shared" si="4"/>
        <v>0</v>
      </c>
      <c r="N71" s="426">
        <f t="shared" si="5"/>
        <v>0</v>
      </c>
      <c r="O71" s="426">
        <f t="shared" si="6"/>
        <v>0</v>
      </c>
      <c r="P71" s="426">
        <f t="shared" si="7"/>
        <v>0</v>
      </c>
      <c r="Q71" s="426">
        <f t="shared" si="8"/>
        <v>0</v>
      </c>
      <c r="R71" s="426">
        <f t="shared" si="39"/>
        <v>0</v>
      </c>
      <c r="S71" s="426">
        <f t="shared" si="40"/>
        <v>0</v>
      </c>
      <c r="T71" s="426">
        <f t="shared" si="9"/>
        <v>0</v>
      </c>
      <c r="U71" s="426">
        <f t="shared" si="10"/>
        <v>0</v>
      </c>
      <c r="V71" s="426">
        <f t="shared" si="11"/>
        <v>0</v>
      </c>
      <c r="W71" s="426">
        <f t="shared" si="12"/>
        <v>0</v>
      </c>
      <c r="X71" s="426">
        <f t="shared" si="13"/>
        <v>0</v>
      </c>
      <c r="Y71" s="426">
        <f t="shared" si="14"/>
        <v>0</v>
      </c>
      <c r="Z71" s="426">
        <f t="shared" si="15"/>
        <v>0</v>
      </c>
      <c r="AA71" s="426">
        <f t="shared" si="16"/>
        <v>0</v>
      </c>
      <c r="AB71" s="426">
        <f t="shared" si="17"/>
        <v>0</v>
      </c>
      <c r="AC71" s="426">
        <f t="shared" si="18"/>
        <v>0</v>
      </c>
      <c r="AD71" s="426">
        <f t="shared" si="19"/>
        <v>0</v>
      </c>
      <c r="AE71" s="426">
        <f t="shared" si="20"/>
        <v>0</v>
      </c>
      <c r="AF71" s="426">
        <f t="shared" si="21"/>
        <v>0</v>
      </c>
      <c r="AG71" s="426">
        <f t="shared" si="22"/>
        <v>0</v>
      </c>
      <c r="AH71" s="426">
        <f t="shared" si="23"/>
        <v>0</v>
      </c>
      <c r="AI71" s="426">
        <f t="shared" si="24"/>
        <v>0</v>
      </c>
      <c r="AJ71" s="426">
        <f t="shared" si="25"/>
        <v>0</v>
      </c>
      <c r="AK71" s="426">
        <f t="shared" si="26"/>
        <v>0</v>
      </c>
      <c r="AL71" s="426">
        <f t="shared" si="27"/>
        <v>0</v>
      </c>
      <c r="AM71" s="426">
        <f t="shared" si="28"/>
        <v>0</v>
      </c>
      <c r="AN71" s="426">
        <f t="shared" si="29"/>
        <v>0</v>
      </c>
      <c r="AO71" s="426">
        <f t="shared" si="30"/>
        <v>0</v>
      </c>
      <c r="AP71" s="426">
        <f t="shared" si="31"/>
        <v>0</v>
      </c>
      <c r="AQ71" s="426">
        <f t="shared" si="32"/>
        <v>0</v>
      </c>
      <c r="AR71" s="426">
        <f t="shared" si="33"/>
        <v>0</v>
      </c>
      <c r="AS71" s="426">
        <f t="shared" si="34"/>
        <v>0</v>
      </c>
      <c r="AT71" s="426">
        <f t="shared" si="35"/>
        <v>0</v>
      </c>
      <c r="AU71" s="426">
        <f t="shared" si="36"/>
        <v>0</v>
      </c>
      <c r="AV71" s="426">
        <f t="shared" si="37"/>
        <v>0</v>
      </c>
      <c r="AW71" s="426">
        <f t="shared" si="38"/>
        <v>0</v>
      </c>
    </row>
    <row r="72" spans="1:49" s="421" customFormat="1" ht="12" customHeight="1">
      <c r="A72" s="73">
        <f t="array" ref="A72">IF(C72&lt;&gt;0,SUM(($C$11:C72&lt;&gt;0)*1),"")</f>
        <v>62</v>
      </c>
      <c r="B72" s="316">
        <v>42004</v>
      </c>
      <c r="C72" s="316" t="s">
        <v>8</v>
      </c>
      <c r="D72" s="316">
        <v>42004</v>
      </c>
      <c r="E72" s="423" t="s">
        <v>427</v>
      </c>
      <c r="F72" s="75">
        <v>550000</v>
      </c>
      <c r="G72" s="425" t="s">
        <v>348</v>
      </c>
      <c r="H72" s="425" t="s">
        <v>34</v>
      </c>
      <c r="I72" s="73">
        <f t="shared" si="0"/>
        <v>62</v>
      </c>
      <c r="J72" s="426">
        <f t="shared" si="1"/>
        <v>0</v>
      </c>
      <c r="K72" s="426">
        <f t="shared" si="2"/>
        <v>0</v>
      </c>
      <c r="L72" s="426">
        <f t="shared" si="3"/>
        <v>0</v>
      </c>
      <c r="M72" s="426">
        <f t="shared" si="4"/>
        <v>550000</v>
      </c>
      <c r="N72" s="426">
        <f t="shared" si="5"/>
        <v>0</v>
      </c>
      <c r="O72" s="426">
        <f t="shared" si="6"/>
        <v>0</v>
      </c>
      <c r="P72" s="426">
        <f t="shared" si="7"/>
        <v>0</v>
      </c>
      <c r="Q72" s="426">
        <f t="shared" si="8"/>
        <v>0</v>
      </c>
      <c r="R72" s="426">
        <f t="shared" si="39"/>
        <v>0</v>
      </c>
      <c r="S72" s="426">
        <f t="shared" si="40"/>
        <v>0</v>
      </c>
      <c r="T72" s="426">
        <f t="shared" si="9"/>
        <v>0</v>
      </c>
      <c r="U72" s="426">
        <f t="shared" si="10"/>
        <v>0</v>
      </c>
      <c r="V72" s="426">
        <f t="shared" si="11"/>
        <v>0</v>
      </c>
      <c r="W72" s="426">
        <f t="shared" si="12"/>
        <v>0</v>
      </c>
      <c r="X72" s="426">
        <f t="shared" si="13"/>
        <v>0</v>
      </c>
      <c r="Y72" s="426">
        <f t="shared" si="14"/>
        <v>0</v>
      </c>
      <c r="Z72" s="426">
        <f t="shared" si="15"/>
        <v>0</v>
      </c>
      <c r="AA72" s="426">
        <f t="shared" si="16"/>
        <v>0</v>
      </c>
      <c r="AB72" s="426">
        <f t="shared" si="17"/>
        <v>0</v>
      </c>
      <c r="AC72" s="426">
        <f t="shared" si="18"/>
        <v>0</v>
      </c>
      <c r="AD72" s="426">
        <f t="shared" si="19"/>
        <v>0</v>
      </c>
      <c r="AE72" s="426">
        <f t="shared" si="20"/>
        <v>0</v>
      </c>
      <c r="AF72" s="426">
        <f t="shared" si="21"/>
        <v>0</v>
      </c>
      <c r="AG72" s="426">
        <f t="shared" si="22"/>
        <v>0</v>
      </c>
      <c r="AH72" s="426">
        <f t="shared" si="23"/>
        <v>0</v>
      </c>
      <c r="AI72" s="426">
        <f t="shared" si="24"/>
        <v>0</v>
      </c>
      <c r="AJ72" s="426">
        <f t="shared" si="25"/>
        <v>0</v>
      </c>
      <c r="AK72" s="426">
        <f t="shared" si="26"/>
        <v>0</v>
      </c>
      <c r="AL72" s="426">
        <f t="shared" si="27"/>
        <v>0</v>
      </c>
      <c r="AM72" s="426">
        <f t="shared" si="28"/>
        <v>0</v>
      </c>
      <c r="AN72" s="426">
        <f t="shared" si="29"/>
        <v>0</v>
      </c>
      <c r="AO72" s="426">
        <f t="shared" si="30"/>
        <v>0</v>
      </c>
      <c r="AP72" s="426">
        <f t="shared" si="31"/>
        <v>0</v>
      </c>
      <c r="AQ72" s="426">
        <f t="shared" si="32"/>
        <v>0</v>
      </c>
      <c r="AR72" s="426">
        <f t="shared" si="33"/>
        <v>0</v>
      </c>
      <c r="AS72" s="426">
        <f t="shared" si="34"/>
        <v>0</v>
      </c>
      <c r="AT72" s="426">
        <f t="shared" si="35"/>
        <v>0</v>
      </c>
      <c r="AU72" s="426">
        <f t="shared" si="36"/>
        <v>0</v>
      </c>
      <c r="AV72" s="426">
        <f t="shared" si="37"/>
        <v>0</v>
      </c>
      <c r="AW72" s="426">
        <f t="shared" si="38"/>
        <v>0</v>
      </c>
    </row>
    <row r="73" spans="1:49" s="467" customFormat="1" ht="12" customHeight="1">
      <c r="A73" s="73">
        <f t="array" ref="A73">IF(C73&lt;&gt;0,SUM(($C$11:C73&lt;&gt;0)*1),"")</f>
        <v>63</v>
      </c>
      <c r="B73" s="428">
        <v>42004</v>
      </c>
      <c r="C73" s="428" t="s">
        <v>173</v>
      </c>
      <c r="D73" s="428">
        <f t="shared" ref="D73:D79" si="41">B73</f>
        <v>42004</v>
      </c>
      <c r="E73" s="429" t="s">
        <v>174</v>
      </c>
      <c r="F73" s="102">
        <f>AL81</f>
        <v>0</v>
      </c>
      <c r="G73" s="430" t="s">
        <v>167</v>
      </c>
      <c r="H73" s="430" t="s">
        <v>157</v>
      </c>
      <c r="I73" s="73">
        <f t="shared" ref="I73:I79" si="42">A73</f>
        <v>63</v>
      </c>
      <c r="J73" s="426">
        <f t="shared" ref="J73:J80" si="43">IF($G73="1111",$F73,0)</f>
        <v>0</v>
      </c>
      <c r="K73" s="426">
        <f t="shared" ref="K73:K80" si="44">IF($H73="1111",$F73,0)</f>
        <v>0</v>
      </c>
      <c r="L73" s="426">
        <f t="shared" ref="L73:L80" si="45">IF($G73="1121",$F73,0)</f>
        <v>0</v>
      </c>
      <c r="M73" s="426">
        <f t="shared" ref="M73:M80" si="46">IF($H73="1121",$F73,0)</f>
        <v>0</v>
      </c>
      <c r="N73" s="426">
        <f t="shared" ref="N73:N80" si="47">IF($G73="1331",$F73,0)</f>
        <v>0</v>
      </c>
      <c r="O73" s="426">
        <f t="shared" ref="O73:O80" si="48">IF($H73="1331",$F73,0)</f>
        <v>0</v>
      </c>
      <c r="P73" s="426">
        <f t="shared" ref="P73:P80" si="49">IF($G73="1388",$F73,0)</f>
        <v>0</v>
      </c>
      <c r="Q73" s="426">
        <f t="shared" ref="Q73:Q80" si="50">IF($H73="1388",$F73,0)</f>
        <v>0</v>
      </c>
      <c r="R73" s="426">
        <f t="shared" ref="R73:R80" si="51">IF($G73="2412",$F73,0)</f>
        <v>0</v>
      </c>
      <c r="S73" s="426">
        <f t="shared" ref="S73:S80" si="52">IF($H73="2412",$F73,0)</f>
        <v>0</v>
      </c>
      <c r="T73" s="426">
        <f t="shared" ref="T73:T80" si="53">IF($G73="331",$F73,0)</f>
        <v>0</v>
      </c>
      <c r="U73" s="426">
        <f t="shared" ref="U73:U80" si="54">IF($H73="331",$F73,0)</f>
        <v>0</v>
      </c>
      <c r="V73" s="426">
        <f t="shared" ref="V73:V80" si="55">IF($G73="3334",$F73,0)</f>
        <v>0</v>
      </c>
      <c r="W73" s="426">
        <f t="shared" ref="W73:W80" si="56">IF($H73="3334",$F73,0)</f>
        <v>0</v>
      </c>
      <c r="X73" s="426">
        <f t="shared" ref="X73:X80" si="57">IF($G73="33382",$F73,0)</f>
        <v>0</v>
      </c>
      <c r="Y73" s="426">
        <f t="shared" ref="Y73:Y80" si="58">IF($H73="33382",$F73,0)</f>
        <v>0</v>
      </c>
      <c r="Z73" s="426">
        <f t="shared" ref="Z73:Z80" si="59">IF($G73="3388",$F73,0)</f>
        <v>0</v>
      </c>
      <c r="AA73" s="426">
        <f t="shared" ref="AA73:AA80" si="60">IF($H73="3388",$F73,0)</f>
        <v>0</v>
      </c>
      <c r="AB73" s="426">
        <f t="shared" ref="AB73:AB80" si="61">IF($G73="3411",$F73,0)</f>
        <v>0</v>
      </c>
      <c r="AC73" s="426">
        <f t="shared" ref="AC73:AC80" si="62">IF($H73="3411",$F73,0)</f>
        <v>0</v>
      </c>
      <c r="AD73" s="426">
        <f t="shared" ref="AD73:AD80" si="63">IF($G73="4111",$F73,0)</f>
        <v>0</v>
      </c>
      <c r="AE73" s="426">
        <f t="shared" ref="AE73:AE80" si="64">IF($H73="4111",$F73,0)</f>
        <v>0</v>
      </c>
      <c r="AF73" s="426">
        <f t="shared" ref="AF73:AF80" si="65">IF($G73="4211",$F73,0)</f>
        <v>0</v>
      </c>
      <c r="AG73" s="426">
        <f t="shared" ref="AG73:AG80" si="66">IF($H73="4211",$F73,0)</f>
        <v>0</v>
      </c>
      <c r="AH73" s="426">
        <f t="shared" ref="AH73:AH80" si="67">IF($G73="4212",$F73,0)</f>
        <v>0</v>
      </c>
      <c r="AI73" s="426">
        <f t="shared" ref="AI73:AI80" si="68">IF($H73="4212",$F73,0)</f>
        <v>0</v>
      </c>
      <c r="AJ73" s="426">
        <f t="shared" ref="AJ73:AJ80" si="69">IF($G73="515",$F73,0)</f>
        <v>0</v>
      </c>
      <c r="AK73" s="426">
        <f t="shared" ref="AK73:AK80" si="70">IF($H73="515",$F73,0)</f>
        <v>0</v>
      </c>
      <c r="AL73" s="426">
        <f t="shared" ref="AL73:AL80" si="71">IF($G73="635",$F73,0)</f>
        <v>0</v>
      </c>
      <c r="AM73" s="426">
        <f t="shared" ref="AM73:AM80" si="72">IF($H73="635",$F73,0)</f>
        <v>0</v>
      </c>
      <c r="AN73" s="426">
        <f t="shared" ref="AN73:AN80" si="73">IF($G73="642",$F73,0)</f>
        <v>0</v>
      </c>
      <c r="AO73" s="426">
        <f t="shared" ref="AO73:AO80" si="74">IF($H73="642",$F73,0)</f>
        <v>0</v>
      </c>
      <c r="AP73" s="426">
        <f t="shared" ref="AP73:AP80" si="75">IF($G73="711",$F73,0)</f>
        <v>0</v>
      </c>
      <c r="AQ73" s="426">
        <f t="shared" ref="AQ73:AQ80" si="76">IF($H73="711",$F73,0)</f>
        <v>0</v>
      </c>
      <c r="AR73" s="426">
        <f t="shared" ref="AR73:AR80" si="77">IF($G73="811",$F73,0)</f>
        <v>0</v>
      </c>
      <c r="AS73" s="426">
        <f t="shared" ref="AS73:AS80" si="78">IF($H73="811",$F73,0)</f>
        <v>0</v>
      </c>
      <c r="AT73" s="426">
        <f t="shared" ref="AT73:AT80" si="79">IF($G73="821",$F73,0)</f>
        <v>0</v>
      </c>
      <c r="AU73" s="426">
        <f t="shared" ref="AU73:AU80" si="80">IF($H73="821",$F73,0)</f>
        <v>0</v>
      </c>
      <c r="AV73" s="426">
        <f t="shared" ref="AV73:AV80" si="81">IF($G73="911",$F73,0)</f>
        <v>0</v>
      </c>
      <c r="AW73" s="426">
        <f t="shared" ref="AW73:AW80" si="82">IF($H73="911",$F73,0)</f>
        <v>0</v>
      </c>
    </row>
    <row r="74" spans="1:49" s="467" customFormat="1" ht="12" customHeight="1">
      <c r="A74" s="73">
        <f t="array" ref="A74">IF(C74&lt;&gt;0,SUM(($C$11:C74&lt;&gt;0)*1),"")</f>
        <v>64</v>
      </c>
      <c r="B74" s="428">
        <v>42004</v>
      </c>
      <c r="C74" s="428" t="s">
        <v>173</v>
      </c>
      <c r="D74" s="428">
        <f t="shared" si="41"/>
        <v>42004</v>
      </c>
      <c r="E74" s="429" t="s">
        <v>175</v>
      </c>
      <c r="F74" s="102">
        <f>AN81</f>
        <v>0</v>
      </c>
      <c r="G74" s="430" t="s">
        <v>167</v>
      </c>
      <c r="H74" s="430" t="s">
        <v>159</v>
      </c>
      <c r="I74" s="73">
        <f t="shared" si="42"/>
        <v>64</v>
      </c>
      <c r="J74" s="426">
        <f t="shared" si="43"/>
        <v>0</v>
      </c>
      <c r="K74" s="426">
        <f t="shared" si="44"/>
        <v>0</v>
      </c>
      <c r="L74" s="426">
        <f t="shared" si="45"/>
        <v>0</v>
      </c>
      <c r="M74" s="426">
        <f t="shared" si="46"/>
        <v>0</v>
      </c>
      <c r="N74" s="426">
        <f t="shared" si="47"/>
        <v>0</v>
      </c>
      <c r="O74" s="426">
        <f t="shared" si="48"/>
        <v>0</v>
      </c>
      <c r="P74" s="426">
        <f t="shared" si="49"/>
        <v>0</v>
      </c>
      <c r="Q74" s="426">
        <f t="shared" si="50"/>
        <v>0</v>
      </c>
      <c r="R74" s="426">
        <f t="shared" si="51"/>
        <v>0</v>
      </c>
      <c r="S74" s="426">
        <f t="shared" si="52"/>
        <v>0</v>
      </c>
      <c r="T74" s="426">
        <f t="shared" si="53"/>
        <v>0</v>
      </c>
      <c r="U74" s="426">
        <f t="shared" si="54"/>
        <v>0</v>
      </c>
      <c r="V74" s="426">
        <f t="shared" si="55"/>
        <v>0</v>
      </c>
      <c r="W74" s="426">
        <f t="shared" si="56"/>
        <v>0</v>
      </c>
      <c r="X74" s="426">
        <f t="shared" si="57"/>
        <v>0</v>
      </c>
      <c r="Y74" s="426">
        <f t="shared" si="58"/>
        <v>0</v>
      </c>
      <c r="Z74" s="426">
        <f t="shared" si="59"/>
        <v>0</v>
      </c>
      <c r="AA74" s="426">
        <f t="shared" si="60"/>
        <v>0</v>
      </c>
      <c r="AB74" s="426">
        <f t="shared" si="61"/>
        <v>0</v>
      </c>
      <c r="AC74" s="426">
        <f t="shared" si="62"/>
        <v>0</v>
      </c>
      <c r="AD74" s="426">
        <f t="shared" si="63"/>
        <v>0</v>
      </c>
      <c r="AE74" s="426">
        <f t="shared" si="64"/>
        <v>0</v>
      </c>
      <c r="AF74" s="426">
        <f t="shared" si="65"/>
        <v>0</v>
      </c>
      <c r="AG74" s="426">
        <f t="shared" si="66"/>
        <v>0</v>
      </c>
      <c r="AH74" s="426">
        <f t="shared" si="67"/>
        <v>0</v>
      </c>
      <c r="AI74" s="426">
        <f t="shared" si="68"/>
        <v>0</v>
      </c>
      <c r="AJ74" s="426">
        <f t="shared" si="69"/>
        <v>0</v>
      </c>
      <c r="AK74" s="426">
        <f t="shared" si="70"/>
        <v>0</v>
      </c>
      <c r="AL74" s="426">
        <f t="shared" si="71"/>
        <v>0</v>
      </c>
      <c r="AM74" s="426">
        <f t="shared" si="72"/>
        <v>0</v>
      </c>
      <c r="AN74" s="426">
        <f t="shared" si="73"/>
        <v>0</v>
      </c>
      <c r="AO74" s="426">
        <f t="shared" si="74"/>
        <v>0</v>
      </c>
      <c r="AP74" s="426">
        <f t="shared" si="75"/>
        <v>0</v>
      </c>
      <c r="AQ74" s="426">
        <f t="shared" si="76"/>
        <v>0</v>
      </c>
      <c r="AR74" s="426">
        <f t="shared" si="77"/>
        <v>0</v>
      </c>
      <c r="AS74" s="426">
        <f t="shared" si="78"/>
        <v>0</v>
      </c>
      <c r="AT74" s="426">
        <f t="shared" si="79"/>
        <v>0</v>
      </c>
      <c r="AU74" s="426">
        <f t="shared" si="80"/>
        <v>0</v>
      </c>
      <c r="AV74" s="426">
        <f t="shared" si="81"/>
        <v>0</v>
      </c>
      <c r="AW74" s="426">
        <f t="shared" si="82"/>
        <v>0</v>
      </c>
    </row>
    <row r="75" spans="1:49" s="421" customFormat="1" ht="12.75" customHeight="1">
      <c r="A75" s="73">
        <f t="array" ref="A75">IF(C75&lt;&gt;0,SUM(($C$11:C75&lt;&gt;0)*1),"")</f>
        <v>65</v>
      </c>
      <c r="B75" s="428">
        <v>42004</v>
      </c>
      <c r="C75" s="428" t="s">
        <v>173</v>
      </c>
      <c r="D75" s="428">
        <f t="shared" si="41"/>
        <v>42004</v>
      </c>
      <c r="E75" s="429" t="s">
        <v>294</v>
      </c>
      <c r="F75" s="102">
        <f>F76</f>
        <v>0</v>
      </c>
      <c r="G75" s="430" t="s">
        <v>248</v>
      </c>
      <c r="H75" s="430" t="s">
        <v>152</v>
      </c>
      <c r="I75" s="73">
        <f t="shared" si="42"/>
        <v>65</v>
      </c>
      <c r="J75" s="426">
        <f t="shared" si="43"/>
        <v>0</v>
      </c>
      <c r="K75" s="426">
        <f t="shared" si="44"/>
        <v>0</v>
      </c>
      <c r="L75" s="426">
        <f t="shared" si="45"/>
        <v>0</v>
      </c>
      <c r="M75" s="426">
        <f t="shared" si="46"/>
        <v>0</v>
      </c>
      <c r="N75" s="426">
        <f t="shared" si="47"/>
        <v>0</v>
      </c>
      <c r="O75" s="426">
        <f t="shared" si="48"/>
        <v>0</v>
      </c>
      <c r="P75" s="426">
        <f t="shared" si="49"/>
        <v>0</v>
      </c>
      <c r="Q75" s="426">
        <f t="shared" si="50"/>
        <v>0</v>
      </c>
      <c r="R75" s="426">
        <f t="shared" si="51"/>
        <v>0</v>
      </c>
      <c r="S75" s="426">
        <f t="shared" si="52"/>
        <v>0</v>
      </c>
      <c r="T75" s="426">
        <f t="shared" si="53"/>
        <v>0</v>
      </c>
      <c r="U75" s="426">
        <f t="shared" si="54"/>
        <v>0</v>
      </c>
      <c r="V75" s="426">
        <f t="shared" si="55"/>
        <v>0</v>
      </c>
      <c r="W75" s="426">
        <f t="shared" si="56"/>
        <v>0</v>
      </c>
      <c r="X75" s="426">
        <f t="shared" si="57"/>
        <v>0</v>
      </c>
      <c r="Y75" s="426">
        <f t="shared" si="58"/>
        <v>0</v>
      </c>
      <c r="Z75" s="426">
        <f t="shared" si="59"/>
        <v>0</v>
      </c>
      <c r="AA75" s="426">
        <f t="shared" si="60"/>
        <v>0</v>
      </c>
      <c r="AB75" s="426">
        <f t="shared" si="61"/>
        <v>0</v>
      </c>
      <c r="AC75" s="426">
        <f t="shared" si="62"/>
        <v>0</v>
      </c>
      <c r="AD75" s="426">
        <f t="shared" si="63"/>
        <v>0</v>
      </c>
      <c r="AE75" s="426">
        <f t="shared" si="64"/>
        <v>0</v>
      </c>
      <c r="AF75" s="426">
        <f t="shared" si="65"/>
        <v>0</v>
      </c>
      <c r="AG75" s="426">
        <f t="shared" si="66"/>
        <v>0</v>
      </c>
      <c r="AH75" s="426">
        <f t="shared" si="67"/>
        <v>0</v>
      </c>
      <c r="AI75" s="426">
        <f t="shared" si="68"/>
        <v>0</v>
      </c>
      <c r="AJ75" s="426">
        <f t="shared" si="69"/>
        <v>0</v>
      </c>
      <c r="AK75" s="426">
        <f t="shared" si="70"/>
        <v>0</v>
      </c>
      <c r="AL75" s="426">
        <f t="shared" si="71"/>
        <v>0</v>
      </c>
      <c r="AM75" s="426">
        <f t="shared" si="72"/>
        <v>0</v>
      </c>
      <c r="AN75" s="426">
        <f t="shared" si="73"/>
        <v>0</v>
      </c>
      <c r="AO75" s="426">
        <f t="shared" si="74"/>
        <v>0</v>
      </c>
      <c r="AP75" s="426">
        <f t="shared" si="75"/>
        <v>0</v>
      </c>
      <c r="AQ75" s="426">
        <f t="shared" si="76"/>
        <v>0</v>
      </c>
      <c r="AR75" s="426">
        <f t="shared" si="77"/>
        <v>0</v>
      </c>
      <c r="AS75" s="426">
        <f t="shared" si="78"/>
        <v>0</v>
      </c>
      <c r="AT75" s="426">
        <f t="shared" si="79"/>
        <v>0</v>
      </c>
      <c r="AU75" s="426">
        <f t="shared" si="80"/>
        <v>0</v>
      </c>
      <c r="AV75" s="426">
        <f t="shared" si="81"/>
        <v>0</v>
      </c>
      <c r="AW75" s="426">
        <f t="shared" si="82"/>
        <v>0</v>
      </c>
    </row>
    <row r="76" spans="1:49" s="467" customFormat="1" ht="12" customHeight="1">
      <c r="A76" s="73">
        <f t="array" ref="A76">IF(C76&lt;&gt;0,SUM(($C$11:C76&lt;&gt;0)*1),"")</f>
        <v>66</v>
      </c>
      <c r="B76" s="428">
        <v>42004</v>
      </c>
      <c r="C76" s="428" t="s">
        <v>173</v>
      </c>
      <c r="D76" s="428">
        <f t="shared" si="41"/>
        <v>42004</v>
      </c>
      <c r="E76" s="429" t="s">
        <v>327</v>
      </c>
      <c r="F76" s="102"/>
      <c r="G76" s="430" t="s">
        <v>152</v>
      </c>
      <c r="H76" s="430" t="s">
        <v>167</v>
      </c>
      <c r="I76" s="73">
        <f t="shared" si="42"/>
        <v>66</v>
      </c>
      <c r="J76" s="426">
        <f t="shared" si="43"/>
        <v>0</v>
      </c>
      <c r="K76" s="426">
        <f t="shared" si="44"/>
        <v>0</v>
      </c>
      <c r="L76" s="426">
        <f t="shared" si="45"/>
        <v>0</v>
      </c>
      <c r="M76" s="426">
        <f t="shared" si="46"/>
        <v>0</v>
      </c>
      <c r="N76" s="426">
        <f t="shared" si="47"/>
        <v>0</v>
      </c>
      <c r="O76" s="426">
        <f t="shared" si="48"/>
        <v>0</v>
      </c>
      <c r="P76" s="426">
        <f t="shared" si="49"/>
        <v>0</v>
      </c>
      <c r="Q76" s="426">
        <f t="shared" si="50"/>
        <v>0</v>
      </c>
      <c r="R76" s="426">
        <f t="shared" si="51"/>
        <v>0</v>
      </c>
      <c r="S76" s="426">
        <f t="shared" si="52"/>
        <v>0</v>
      </c>
      <c r="T76" s="426">
        <f t="shared" si="53"/>
        <v>0</v>
      </c>
      <c r="U76" s="426">
        <f t="shared" si="54"/>
        <v>0</v>
      </c>
      <c r="V76" s="426">
        <f t="shared" si="55"/>
        <v>0</v>
      </c>
      <c r="W76" s="426">
        <f t="shared" si="56"/>
        <v>0</v>
      </c>
      <c r="X76" s="426">
        <f t="shared" si="57"/>
        <v>0</v>
      </c>
      <c r="Y76" s="426">
        <f t="shared" si="58"/>
        <v>0</v>
      </c>
      <c r="Z76" s="426">
        <f t="shared" si="59"/>
        <v>0</v>
      </c>
      <c r="AA76" s="426">
        <f t="shared" si="60"/>
        <v>0</v>
      </c>
      <c r="AB76" s="426">
        <f t="shared" si="61"/>
        <v>0</v>
      </c>
      <c r="AC76" s="426">
        <f t="shared" si="62"/>
        <v>0</v>
      </c>
      <c r="AD76" s="426">
        <f t="shared" si="63"/>
        <v>0</v>
      </c>
      <c r="AE76" s="426">
        <f t="shared" si="64"/>
        <v>0</v>
      </c>
      <c r="AF76" s="426">
        <f t="shared" si="65"/>
        <v>0</v>
      </c>
      <c r="AG76" s="426">
        <f t="shared" si="66"/>
        <v>0</v>
      </c>
      <c r="AH76" s="426">
        <f t="shared" si="67"/>
        <v>0</v>
      </c>
      <c r="AI76" s="426">
        <f t="shared" si="68"/>
        <v>0</v>
      </c>
      <c r="AJ76" s="426">
        <f t="shared" si="69"/>
        <v>0</v>
      </c>
      <c r="AK76" s="426">
        <f t="shared" si="70"/>
        <v>0</v>
      </c>
      <c r="AL76" s="426">
        <f t="shared" si="71"/>
        <v>0</v>
      </c>
      <c r="AM76" s="426">
        <f t="shared" si="72"/>
        <v>0</v>
      </c>
      <c r="AN76" s="426">
        <f t="shared" si="73"/>
        <v>0</v>
      </c>
      <c r="AO76" s="426">
        <f t="shared" si="74"/>
        <v>0</v>
      </c>
      <c r="AP76" s="426">
        <f t="shared" si="75"/>
        <v>0</v>
      </c>
      <c r="AQ76" s="426">
        <f t="shared" si="76"/>
        <v>0</v>
      </c>
      <c r="AR76" s="426">
        <f t="shared" si="77"/>
        <v>0</v>
      </c>
      <c r="AS76" s="426">
        <f t="shared" si="78"/>
        <v>0</v>
      </c>
      <c r="AT76" s="426">
        <f t="shared" si="79"/>
        <v>0</v>
      </c>
      <c r="AU76" s="426">
        <f t="shared" si="80"/>
        <v>0</v>
      </c>
      <c r="AV76" s="426">
        <f t="shared" si="81"/>
        <v>0</v>
      </c>
      <c r="AW76" s="426">
        <f t="shared" si="82"/>
        <v>0</v>
      </c>
    </row>
    <row r="77" spans="1:49" s="467" customFormat="1" ht="12" customHeight="1">
      <c r="A77" s="73">
        <f t="array" ref="A77">IF(C77&lt;&gt;0,SUM(($C$11:C77&lt;&gt;0)*1),"")</f>
        <v>67</v>
      </c>
      <c r="B77" s="428">
        <v>42004</v>
      </c>
      <c r="C77" s="428" t="s">
        <v>173</v>
      </c>
      <c r="D77" s="428">
        <f t="shared" si="41"/>
        <v>42004</v>
      </c>
      <c r="E77" s="429" t="s">
        <v>177</v>
      </c>
      <c r="F77" s="102">
        <f>AK81</f>
        <v>508594</v>
      </c>
      <c r="G77" s="430" t="s">
        <v>67</v>
      </c>
      <c r="H77" s="430" t="s">
        <v>167</v>
      </c>
      <c r="I77" s="73">
        <f t="shared" si="42"/>
        <v>67</v>
      </c>
      <c r="J77" s="426">
        <f t="shared" si="43"/>
        <v>0</v>
      </c>
      <c r="K77" s="426">
        <f t="shared" si="44"/>
        <v>0</v>
      </c>
      <c r="L77" s="426">
        <f t="shared" si="45"/>
        <v>0</v>
      </c>
      <c r="M77" s="426">
        <f t="shared" si="46"/>
        <v>0</v>
      </c>
      <c r="N77" s="426">
        <f t="shared" si="47"/>
        <v>0</v>
      </c>
      <c r="O77" s="426">
        <f t="shared" si="48"/>
        <v>0</v>
      </c>
      <c r="P77" s="426">
        <f t="shared" si="49"/>
        <v>0</v>
      </c>
      <c r="Q77" s="426">
        <f t="shared" si="50"/>
        <v>0</v>
      </c>
      <c r="R77" s="426">
        <f t="shared" si="51"/>
        <v>0</v>
      </c>
      <c r="S77" s="426">
        <f t="shared" si="52"/>
        <v>0</v>
      </c>
      <c r="T77" s="426">
        <f t="shared" si="53"/>
        <v>0</v>
      </c>
      <c r="U77" s="426">
        <f t="shared" si="54"/>
        <v>0</v>
      </c>
      <c r="V77" s="426">
        <f t="shared" si="55"/>
        <v>0</v>
      </c>
      <c r="W77" s="426">
        <f t="shared" si="56"/>
        <v>0</v>
      </c>
      <c r="X77" s="426">
        <f t="shared" si="57"/>
        <v>0</v>
      </c>
      <c r="Y77" s="426">
        <f t="shared" si="58"/>
        <v>0</v>
      </c>
      <c r="Z77" s="426">
        <f t="shared" si="59"/>
        <v>0</v>
      </c>
      <c r="AA77" s="426">
        <f t="shared" si="60"/>
        <v>0</v>
      </c>
      <c r="AB77" s="426">
        <f t="shared" si="61"/>
        <v>0</v>
      </c>
      <c r="AC77" s="426">
        <f t="shared" si="62"/>
        <v>0</v>
      </c>
      <c r="AD77" s="426">
        <f t="shared" si="63"/>
        <v>0</v>
      </c>
      <c r="AE77" s="426">
        <f t="shared" si="64"/>
        <v>0</v>
      </c>
      <c r="AF77" s="426">
        <f t="shared" si="65"/>
        <v>0</v>
      </c>
      <c r="AG77" s="426">
        <f t="shared" si="66"/>
        <v>0</v>
      </c>
      <c r="AH77" s="426">
        <f t="shared" si="67"/>
        <v>0</v>
      </c>
      <c r="AI77" s="426">
        <f t="shared" si="68"/>
        <v>0</v>
      </c>
      <c r="AJ77" s="426">
        <f t="shared" si="69"/>
        <v>508594</v>
      </c>
      <c r="AK77" s="426">
        <f t="shared" si="70"/>
        <v>0</v>
      </c>
      <c r="AL77" s="426">
        <f t="shared" si="71"/>
        <v>0</v>
      </c>
      <c r="AM77" s="426">
        <f t="shared" si="72"/>
        <v>0</v>
      </c>
      <c r="AN77" s="426">
        <f t="shared" si="73"/>
        <v>0</v>
      </c>
      <c r="AO77" s="426">
        <f t="shared" si="74"/>
        <v>0</v>
      </c>
      <c r="AP77" s="426">
        <f t="shared" si="75"/>
        <v>0</v>
      </c>
      <c r="AQ77" s="426">
        <f t="shared" si="76"/>
        <v>0</v>
      </c>
      <c r="AR77" s="426">
        <f t="shared" si="77"/>
        <v>0</v>
      </c>
      <c r="AS77" s="426">
        <f t="shared" si="78"/>
        <v>0</v>
      </c>
      <c r="AT77" s="426">
        <f t="shared" si="79"/>
        <v>0</v>
      </c>
      <c r="AU77" s="426">
        <f t="shared" si="80"/>
        <v>0</v>
      </c>
      <c r="AV77" s="426">
        <f t="shared" si="81"/>
        <v>0</v>
      </c>
      <c r="AW77" s="426">
        <f t="shared" si="82"/>
        <v>508594</v>
      </c>
    </row>
    <row r="78" spans="1:49" s="467" customFormat="1" ht="12" customHeight="1">
      <c r="A78" s="73">
        <f t="array" ref="A78">IF(C78&lt;&gt;0,SUM(($C$11:C78&lt;&gt;0)*1),"")</f>
        <v>68</v>
      </c>
      <c r="B78" s="428">
        <v>42004</v>
      </c>
      <c r="C78" s="428" t="s">
        <v>173</v>
      </c>
      <c r="D78" s="428">
        <f t="shared" si="41"/>
        <v>42004</v>
      </c>
      <c r="E78" s="429" t="s">
        <v>178</v>
      </c>
      <c r="F78" s="102">
        <f>AQ81</f>
        <v>0</v>
      </c>
      <c r="G78" s="430" t="s">
        <v>161</v>
      </c>
      <c r="H78" s="430" t="s">
        <v>167</v>
      </c>
      <c r="I78" s="73">
        <f t="shared" si="42"/>
        <v>68</v>
      </c>
      <c r="J78" s="426">
        <f t="shared" si="43"/>
        <v>0</v>
      </c>
      <c r="K78" s="426">
        <f t="shared" si="44"/>
        <v>0</v>
      </c>
      <c r="L78" s="426">
        <f t="shared" si="45"/>
        <v>0</v>
      </c>
      <c r="M78" s="426">
        <f t="shared" si="46"/>
        <v>0</v>
      </c>
      <c r="N78" s="426">
        <f t="shared" si="47"/>
        <v>0</v>
      </c>
      <c r="O78" s="426">
        <f t="shared" si="48"/>
        <v>0</v>
      </c>
      <c r="P78" s="426">
        <f t="shared" si="49"/>
        <v>0</v>
      </c>
      <c r="Q78" s="426">
        <f t="shared" si="50"/>
        <v>0</v>
      </c>
      <c r="R78" s="426">
        <f t="shared" si="51"/>
        <v>0</v>
      </c>
      <c r="S78" s="426">
        <f t="shared" si="52"/>
        <v>0</v>
      </c>
      <c r="T78" s="426">
        <f t="shared" si="53"/>
        <v>0</v>
      </c>
      <c r="U78" s="426">
        <f t="shared" si="54"/>
        <v>0</v>
      </c>
      <c r="V78" s="426">
        <f t="shared" si="55"/>
        <v>0</v>
      </c>
      <c r="W78" s="426">
        <f t="shared" si="56"/>
        <v>0</v>
      </c>
      <c r="X78" s="426">
        <f t="shared" si="57"/>
        <v>0</v>
      </c>
      <c r="Y78" s="426">
        <f t="shared" si="58"/>
        <v>0</v>
      </c>
      <c r="Z78" s="426">
        <f t="shared" si="59"/>
        <v>0</v>
      </c>
      <c r="AA78" s="426">
        <f t="shared" si="60"/>
        <v>0</v>
      </c>
      <c r="AB78" s="426">
        <f t="shared" si="61"/>
        <v>0</v>
      </c>
      <c r="AC78" s="426">
        <f t="shared" si="62"/>
        <v>0</v>
      </c>
      <c r="AD78" s="426">
        <f t="shared" si="63"/>
        <v>0</v>
      </c>
      <c r="AE78" s="426">
        <f t="shared" si="64"/>
        <v>0</v>
      </c>
      <c r="AF78" s="426">
        <f t="shared" si="65"/>
        <v>0</v>
      </c>
      <c r="AG78" s="426">
        <f t="shared" si="66"/>
        <v>0</v>
      </c>
      <c r="AH78" s="426">
        <f t="shared" si="67"/>
        <v>0</v>
      </c>
      <c r="AI78" s="426">
        <f t="shared" si="68"/>
        <v>0</v>
      </c>
      <c r="AJ78" s="426">
        <f t="shared" si="69"/>
        <v>0</v>
      </c>
      <c r="AK78" s="426">
        <f t="shared" si="70"/>
        <v>0</v>
      </c>
      <c r="AL78" s="426">
        <f t="shared" si="71"/>
        <v>0</v>
      </c>
      <c r="AM78" s="426">
        <f t="shared" si="72"/>
        <v>0</v>
      </c>
      <c r="AN78" s="426">
        <f t="shared" si="73"/>
        <v>0</v>
      </c>
      <c r="AO78" s="426">
        <f t="shared" si="74"/>
        <v>0</v>
      </c>
      <c r="AP78" s="426">
        <f t="shared" si="75"/>
        <v>0</v>
      </c>
      <c r="AQ78" s="426">
        <f t="shared" si="76"/>
        <v>0</v>
      </c>
      <c r="AR78" s="426">
        <f t="shared" si="77"/>
        <v>0</v>
      </c>
      <c r="AS78" s="426">
        <f t="shared" si="78"/>
        <v>0</v>
      </c>
      <c r="AT78" s="426">
        <f t="shared" si="79"/>
        <v>0</v>
      </c>
      <c r="AU78" s="426">
        <f t="shared" si="80"/>
        <v>0</v>
      </c>
      <c r="AV78" s="426">
        <f t="shared" si="81"/>
        <v>0</v>
      </c>
      <c r="AW78" s="426">
        <f t="shared" si="82"/>
        <v>0</v>
      </c>
    </row>
    <row r="79" spans="1:49" s="467" customFormat="1" ht="12" customHeight="1">
      <c r="A79" s="73">
        <f t="array" ref="A79">IF(C79&lt;&gt;0,SUM(($C$11:C79&lt;&gt;0)*1),"")</f>
        <v>69</v>
      </c>
      <c r="B79" s="428">
        <v>42004</v>
      </c>
      <c r="C79" s="428" t="s">
        <v>173</v>
      </c>
      <c r="D79" s="428">
        <f t="shared" si="41"/>
        <v>42004</v>
      </c>
      <c r="E79" s="429" t="s">
        <v>179</v>
      </c>
      <c r="F79" s="102">
        <f>AR81</f>
        <v>0</v>
      </c>
      <c r="G79" s="430" t="s">
        <v>167</v>
      </c>
      <c r="H79" s="430" t="s">
        <v>163</v>
      </c>
      <c r="I79" s="73">
        <f t="shared" si="42"/>
        <v>69</v>
      </c>
      <c r="J79" s="426">
        <f t="shared" si="43"/>
        <v>0</v>
      </c>
      <c r="K79" s="426">
        <f t="shared" si="44"/>
        <v>0</v>
      </c>
      <c r="L79" s="426">
        <f t="shared" si="45"/>
        <v>0</v>
      </c>
      <c r="M79" s="426">
        <f t="shared" si="46"/>
        <v>0</v>
      </c>
      <c r="N79" s="426">
        <f t="shared" si="47"/>
        <v>0</v>
      </c>
      <c r="O79" s="426">
        <f t="shared" si="48"/>
        <v>0</v>
      </c>
      <c r="P79" s="426">
        <f t="shared" si="49"/>
        <v>0</v>
      </c>
      <c r="Q79" s="426">
        <f t="shared" si="50"/>
        <v>0</v>
      </c>
      <c r="R79" s="426">
        <f t="shared" si="51"/>
        <v>0</v>
      </c>
      <c r="S79" s="426">
        <f t="shared" si="52"/>
        <v>0</v>
      </c>
      <c r="T79" s="426">
        <f t="shared" si="53"/>
        <v>0</v>
      </c>
      <c r="U79" s="426">
        <f t="shared" si="54"/>
        <v>0</v>
      </c>
      <c r="V79" s="426">
        <f t="shared" si="55"/>
        <v>0</v>
      </c>
      <c r="W79" s="426">
        <f t="shared" si="56"/>
        <v>0</v>
      </c>
      <c r="X79" s="426">
        <f t="shared" si="57"/>
        <v>0</v>
      </c>
      <c r="Y79" s="426">
        <f t="shared" si="58"/>
        <v>0</v>
      </c>
      <c r="Z79" s="426">
        <f t="shared" si="59"/>
        <v>0</v>
      </c>
      <c r="AA79" s="426">
        <f t="shared" si="60"/>
        <v>0</v>
      </c>
      <c r="AB79" s="426">
        <f t="shared" si="61"/>
        <v>0</v>
      </c>
      <c r="AC79" s="426">
        <f t="shared" si="62"/>
        <v>0</v>
      </c>
      <c r="AD79" s="426">
        <f t="shared" si="63"/>
        <v>0</v>
      </c>
      <c r="AE79" s="426">
        <f t="shared" si="64"/>
        <v>0</v>
      </c>
      <c r="AF79" s="426">
        <f t="shared" si="65"/>
        <v>0</v>
      </c>
      <c r="AG79" s="426">
        <f t="shared" si="66"/>
        <v>0</v>
      </c>
      <c r="AH79" s="426">
        <f t="shared" si="67"/>
        <v>0</v>
      </c>
      <c r="AI79" s="426">
        <f t="shared" si="68"/>
        <v>0</v>
      </c>
      <c r="AJ79" s="426">
        <f t="shared" si="69"/>
        <v>0</v>
      </c>
      <c r="AK79" s="426">
        <f t="shared" si="70"/>
        <v>0</v>
      </c>
      <c r="AL79" s="426">
        <f t="shared" si="71"/>
        <v>0</v>
      </c>
      <c r="AM79" s="426">
        <f t="shared" si="72"/>
        <v>0</v>
      </c>
      <c r="AN79" s="426">
        <f t="shared" si="73"/>
        <v>0</v>
      </c>
      <c r="AO79" s="426">
        <f t="shared" si="74"/>
        <v>0</v>
      </c>
      <c r="AP79" s="426">
        <f t="shared" si="75"/>
        <v>0</v>
      </c>
      <c r="AQ79" s="426">
        <f t="shared" si="76"/>
        <v>0</v>
      </c>
      <c r="AR79" s="426">
        <f t="shared" si="77"/>
        <v>0</v>
      </c>
      <c r="AS79" s="426">
        <f t="shared" si="78"/>
        <v>0</v>
      </c>
      <c r="AT79" s="426">
        <f t="shared" si="79"/>
        <v>0</v>
      </c>
      <c r="AU79" s="426">
        <f t="shared" si="80"/>
        <v>0</v>
      </c>
      <c r="AV79" s="426">
        <f t="shared" si="81"/>
        <v>0</v>
      </c>
      <c r="AW79" s="426">
        <f t="shared" si="82"/>
        <v>0</v>
      </c>
    </row>
    <row r="80" spans="1:49" s="421" customFormat="1" ht="12" customHeight="1">
      <c r="A80" s="73" t="str">
        <f t="array" ref="A80">IF(C80&lt;&gt;0,SUM(($C$11:C80&lt;&gt;0)*1),"")</f>
        <v/>
      </c>
      <c r="B80" s="316"/>
      <c r="C80" s="316"/>
      <c r="D80" s="316"/>
      <c r="E80" s="423"/>
      <c r="F80" s="75"/>
      <c r="G80" s="432"/>
      <c r="H80" s="432"/>
      <c r="I80" s="73" t="str">
        <f>A80</f>
        <v/>
      </c>
      <c r="J80" s="426">
        <f t="shared" si="43"/>
        <v>0</v>
      </c>
      <c r="K80" s="426">
        <f t="shared" si="44"/>
        <v>0</v>
      </c>
      <c r="L80" s="426">
        <f t="shared" si="45"/>
        <v>0</v>
      </c>
      <c r="M80" s="426">
        <f t="shared" si="46"/>
        <v>0</v>
      </c>
      <c r="N80" s="426">
        <f t="shared" si="47"/>
        <v>0</v>
      </c>
      <c r="O80" s="426">
        <f t="shared" si="48"/>
        <v>0</v>
      </c>
      <c r="P80" s="426">
        <f t="shared" si="49"/>
        <v>0</v>
      </c>
      <c r="Q80" s="426">
        <f t="shared" si="50"/>
        <v>0</v>
      </c>
      <c r="R80" s="426">
        <f t="shared" si="51"/>
        <v>0</v>
      </c>
      <c r="S80" s="426">
        <f t="shared" si="52"/>
        <v>0</v>
      </c>
      <c r="T80" s="426">
        <f t="shared" si="53"/>
        <v>0</v>
      </c>
      <c r="U80" s="426">
        <f t="shared" si="54"/>
        <v>0</v>
      </c>
      <c r="V80" s="426">
        <f t="shared" si="55"/>
        <v>0</v>
      </c>
      <c r="W80" s="426">
        <f t="shared" si="56"/>
        <v>0</v>
      </c>
      <c r="X80" s="426">
        <f t="shared" si="57"/>
        <v>0</v>
      </c>
      <c r="Y80" s="426">
        <f t="shared" si="58"/>
        <v>0</v>
      </c>
      <c r="Z80" s="426">
        <f t="shared" si="59"/>
        <v>0</v>
      </c>
      <c r="AA80" s="426">
        <f t="shared" si="60"/>
        <v>0</v>
      </c>
      <c r="AB80" s="426">
        <f t="shared" si="61"/>
        <v>0</v>
      </c>
      <c r="AC80" s="426">
        <f t="shared" si="62"/>
        <v>0</v>
      </c>
      <c r="AD80" s="426">
        <f t="shared" si="63"/>
        <v>0</v>
      </c>
      <c r="AE80" s="426">
        <f t="shared" si="64"/>
        <v>0</v>
      </c>
      <c r="AF80" s="426">
        <f t="shared" si="65"/>
        <v>0</v>
      </c>
      <c r="AG80" s="426">
        <f t="shared" si="66"/>
        <v>0</v>
      </c>
      <c r="AH80" s="426">
        <f t="shared" si="67"/>
        <v>0</v>
      </c>
      <c r="AI80" s="426">
        <f t="shared" si="68"/>
        <v>0</v>
      </c>
      <c r="AJ80" s="426">
        <f t="shared" si="69"/>
        <v>0</v>
      </c>
      <c r="AK80" s="426">
        <f t="shared" si="70"/>
        <v>0</v>
      </c>
      <c r="AL80" s="426">
        <f t="shared" si="71"/>
        <v>0</v>
      </c>
      <c r="AM80" s="426">
        <f t="shared" si="72"/>
        <v>0</v>
      </c>
      <c r="AN80" s="426">
        <f t="shared" si="73"/>
        <v>0</v>
      </c>
      <c r="AO80" s="426">
        <f t="shared" si="74"/>
        <v>0</v>
      </c>
      <c r="AP80" s="426">
        <f t="shared" si="75"/>
        <v>0</v>
      </c>
      <c r="AQ80" s="426">
        <f t="shared" si="76"/>
        <v>0</v>
      </c>
      <c r="AR80" s="426">
        <f t="shared" si="77"/>
        <v>0</v>
      </c>
      <c r="AS80" s="426">
        <f t="shared" si="78"/>
        <v>0</v>
      </c>
      <c r="AT80" s="426">
        <f t="shared" si="79"/>
        <v>0</v>
      </c>
      <c r="AU80" s="426">
        <f t="shared" si="80"/>
        <v>0</v>
      </c>
      <c r="AV80" s="426">
        <f t="shared" si="81"/>
        <v>0</v>
      </c>
      <c r="AW80" s="426">
        <f t="shared" si="82"/>
        <v>0</v>
      </c>
    </row>
    <row r="81" spans="1:49" s="421" customFormat="1" ht="12" customHeight="1">
      <c r="A81" s="433"/>
      <c r="B81" s="316"/>
      <c r="C81" s="468"/>
      <c r="D81" s="316"/>
      <c r="E81" s="423" t="s">
        <v>275</v>
      </c>
      <c r="F81" s="433"/>
      <c r="G81" s="432"/>
      <c r="H81" s="432"/>
      <c r="I81" s="433"/>
      <c r="J81" s="433">
        <f t="shared" ref="J81:AW81" si="83">SUM(J11:J80)</f>
        <v>0</v>
      </c>
      <c r="K81" s="433">
        <f t="shared" si="83"/>
        <v>119876000</v>
      </c>
      <c r="L81" s="433">
        <f t="shared" si="83"/>
        <v>4218008594</v>
      </c>
      <c r="M81" s="433">
        <f t="shared" si="83"/>
        <v>4556258054</v>
      </c>
      <c r="N81" s="433">
        <f t="shared" si="83"/>
        <v>34075733</v>
      </c>
      <c r="O81" s="433">
        <f t="shared" si="83"/>
        <v>0</v>
      </c>
      <c r="P81" s="433">
        <f t="shared" si="83"/>
        <v>0</v>
      </c>
      <c r="Q81" s="433">
        <f t="shared" si="83"/>
        <v>0</v>
      </c>
      <c r="R81" s="433">
        <f t="shared" si="83"/>
        <v>404997014</v>
      </c>
      <c r="S81" s="433">
        <f t="shared" si="83"/>
        <v>0</v>
      </c>
      <c r="T81" s="433">
        <f t="shared" si="83"/>
        <v>4454359364</v>
      </c>
      <c r="U81" s="433">
        <f t="shared" si="83"/>
        <v>370535204</v>
      </c>
      <c r="V81" s="433">
        <f t="shared" si="83"/>
        <v>0</v>
      </c>
      <c r="W81" s="433">
        <f t="shared" si="83"/>
        <v>0</v>
      </c>
      <c r="X81" s="433">
        <f t="shared" si="83"/>
        <v>0</v>
      </c>
      <c r="Y81" s="433">
        <f t="shared" si="83"/>
        <v>0</v>
      </c>
      <c r="Z81" s="433">
        <f t="shared" si="83"/>
        <v>65500000</v>
      </c>
      <c r="AA81" s="433">
        <f t="shared" si="83"/>
        <v>65500000</v>
      </c>
      <c r="AB81" s="433">
        <f t="shared" si="83"/>
        <v>0</v>
      </c>
      <c r="AC81" s="433">
        <f t="shared" si="83"/>
        <v>0</v>
      </c>
      <c r="AD81" s="433">
        <f t="shared" si="83"/>
        <v>0</v>
      </c>
      <c r="AE81" s="433">
        <f t="shared" si="83"/>
        <v>0</v>
      </c>
      <c r="AF81" s="433">
        <f t="shared" si="83"/>
        <v>0</v>
      </c>
      <c r="AG81" s="433">
        <f t="shared" si="83"/>
        <v>0</v>
      </c>
      <c r="AH81" s="433">
        <f t="shared" si="83"/>
        <v>0</v>
      </c>
      <c r="AI81" s="433">
        <f t="shared" si="83"/>
        <v>0</v>
      </c>
      <c r="AJ81" s="433">
        <f t="shared" si="83"/>
        <v>508594</v>
      </c>
      <c r="AK81" s="433">
        <f t="shared" si="83"/>
        <v>508594</v>
      </c>
      <c r="AL81" s="433">
        <f t="shared" si="83"/>
        <v>0</v>
      </c>
      <c r="AM81" s="433">
        <f t="shared" si="83"/>
        <v>0</v>
      </c>
      <c r="AN81" s="433">
        <f t="shared" si="83"/>
        <v>0</v>
      </c>
      <c r="AO81" s="433">
        <f t="shared" si="83"/>
        <v>0</v>
      </c>
      <c r="AP81" s="433">
        <f t="shared" si="83"/>
        <v>0</v>
      </c>
      <c r="AQ81" s="433">
        <f t="shared" si="83"/>
        <v>0</v>
      </c>
      <c r="AR81" s="433">
        <f t="shared" si="83"/>
        <v>0</v>
      </c>
      <c r="AS81" s="433">
        <f t="shared" si="83"/>
        <v>0</v>
      </c>
      <c r="AT81" s="433">
        <f t="shared" si="83"/>
        <v>0</v>
      </c>
      <c r="AU81" s="433">
        <f t="shared" si="83"/>
        <v>0</v>
      </c>
      <c r="AV81" s="433">
        <f t="shared" si="83"/>
        <v>0</v>
      </c>
      <c r="AW81" s="433">
        <f t="shared" si="83"/>
        <v>508594</v>
      </c>
    </row>
    <row r="82" spans="1:49" s="421" customFormat="1" ht="12" customHeight="1">
      <c r="A82" s="434"/>
      <c r="B82" s="434"/>
      <c r="C82" s="434"/>
      <c r="D82" s="434"/>
      <c r="E82" s="435" t="s">
        <v>328</v>
      </c>
      <c r="F82" s="434"/>
      <c r="G82" s="436"/>
      <c r="H82" s="436"/>
      <c r="I82" s="434"/>
      <c r="J82" s="456">
        <f>MAX(J10+J81-K10-K81,0)</f>
        <v>1681067500</v>
      </c>
      <c r="K82" s="456">
        <f>MAX(K10+K81-J10-J81,0)</f>
        <v>0</v>
      </c>
      <c r="L82" s="456">
        <f>MAX(L10+L81-M10-M81,0)</f>
        <v>500905227</v>
      </c>
      <c r="M82" s="456">
        <f>MAX(M10+M81-L10-L81,0)</f>
        <v>0</v>
      </c>
      <c r="N82" s="456">
        <f>MAX(N10+N81-O10-O81,0)</f>
        <v>197394018</v>
      </c>
      <c r="O82" s="456">
        <f>MAX(O10+O81-N10-N81,0)</f>
        <v>0</v>
      </c>
      <c r="P82" s="456">
        <f>MAX(P10+P81-Q10-Q81,0)</f>
        <v>0</v>
      </c>
      <c r="Q82" s="456">
        <f>MAX(Q10+Q81-P10-P81,0)</f>
        <v>0</v>
      </c>
      <c r="R82" s="456">
        <f>MAX(R10+R81-S10-S81,0)</f>
        <v>1984383750</v>
      </c>
      <c r="S82" s="456">
        <f>MAX(S10+S81-R10-R81,0)</f>
        <v>0</v>
      </c>
      <c r="T82" s="456">
        <f>MAX(T10+T81-U10-U81,0)</f>
        <v>6512610000</v>
      </c>
      <c r="U82" s="456">
        <f>MAX(U10+U81-T10-T81,0)</f>
        <v>0</v>
      </c>
      <c r="V82" s="456">
        <f>MAX(V10+V81-W10-W81,0)</f>
        <v>0</v>
      </c>
      <c r="W82" s="456">
        <f>MAX(W10+W81-V10-V81,0)</f>
        <v>0</v>
      </c>
      <c r="X82" s="456">
        <f>MAX(X10+X81-Y10-Y81,0)</f>
        <v>0</v>
      </c>
      <c r="Y82" s="456">
        <f>MAX(Y10+Y81-X10-X81,0)</f>
        <v>0</v>
      </c>
      <c r="Z82" s="456">
        <f>MAX(Z10+Z81-AA10-AA81,0)</f>
        <v>0</v>
      </c>
      <c r="AA82" s="456">
        <f>MAX(AA10+AA81-Z10-Z81,0)</f>
        <v>0</v>
      </c>
      <c r="AB82" s="456">
        <f>MAX(AB10+AB81-AC10-AC81,0)</f>
        <v>0</v>
      </c>
      <c r="AC82" s="456">
        <f>MAX(AC10+AC81-AB10-AB81,0)</f>
        <v>0</v>
      </c>
      <c r="AD82" s="456">
        <f>MAX(AD10+AD81-AE10-AE81,0)</f>
        <v>0</v>
      </c>
      <c r="AE82" s="456">
        <f>MAX(AE10+AE81-AD10-AD81,0)</f>
        <v>4000000000</v>
      </c>
      <c r="AF82" s="456">
        <f>MAX(AF10+AF81-AG10-AG81,0)</f>
        <v>124728000</v>
      </c>
      <c r="AG82" s="456">
        <f>MAX(AG10+AG81-AF10-AF81,0)</f>
        <v>0</v>
      </c>
      <c r="AH82" s="456">
        <f>MAX(AH10+AH81-AI10-AI81,0)</f>
        <v>0</v>
      </c>
      <c r="AI82" s="456">
        <f>MAX(AI10+AI81-AH10-AH81,0)</f>
        <v>0</v>
      </c>
      <c r="AJ82" s="456">
        <f>MAX(AJ10+AJ81-AK10-AK81,0)</f>
        <v>0</v>
      </c>
      <c r="AK82" s="456">
        <f>MAX(AK10+AK81-AJ10-AJ81,0)</f>
        <v>0</v>
      </c>
      <c r="AL82" s="456">
        <f>MAX(AL10+AL81-AM10-AM81,0)</f>
        <v>0</v>
      </c>
      <c r="AM82" s="456">
        <f>MAX(AM10+AM81-AL10-AL81,0)</f>
        <v>0</v>
      </c>
      <c r="AN82" s="456">
        <f>MAX(AN10+AN81-AO10-AO81,0)</f>
        <v>0</v>
      </c>
      <c r="AO82" s="456">
        <f>MAX(AO10+AO81-AN10-AN81,0)</f>
        <v>0</v>
      </c>
      <c r="AP82" s="456">
        <f>MAX(AP10+AP81-AQ10-AQ81,0)</f>
        <v>0</v>
      </c>
      <c r="AQ82" s="456">
        <f>MAX(AQ10+AQ81-AP10-AP81,0)</f>
        <v>0</v>
      </c>
      <c r="AR82" s="456">
        <f>MAX(AR10+AR81-AS10-AS81,0)</f>
        <v>0</v>
      </c>
      <c r="AS82" s="456">
        <f>MAX(AS10+AS81-AR10-AR81,0)</f>
        <v>0</v>
      </c>
      <c r="AT82" s="456">
        <f>MAX(AT10+AT81-AU10-AU81,0)</f>
        <v>0</v>
      </c>
      <c r="AU82" s="456">
        <f>MAX(AU10+AU81-AT10-AT81,0)</f>
        <v>0</v>
      </c>
      <c r="AV82" s="456">
        <f>MAX(AV10+AV81-AW10-AW81,0)</f>
        <v>0</v>
      </c>
      <c r="AW82" s="456">
        <f>MAX(AW10+AW81-AV10-AV81,0)</f>
        <v>747244</v>
      </c>
    </row>
    <row r="83" spans="1:49" s="421" customFormat="1" ht="12" customHeight="1">
      <c r="A83" s="438"/>
      <c r="B83" s="438"/>
      <c r="C83" s="439"/>
      <c r="D83" s="438"/>
      <c r="E83" s="440" t="s">
        <v>329</v>
      </c>
      <c r="F83" s="438"/>
      <c r="G83" s="441"/>
      <c r="H83" s="441"/>
      <c r="I83" s="438"/>
      <c r="J83" s="438">
        <f>J81+'07-09'!J90</f>
        <v>0</v>
      </c>
      <c r="K83" s="438">
        <f>K81+'07-09'!K90</f>
        <v>1343576000</v>
      </c>
      <c r="L83" s="438">
        <f>L81+'07-09'!L90</f>
        <v>8474947244</v>
      </c>
      <c r="M83" s="438">
        <f>M81+'07-09'!M90</f>
        <v>7974670517</v>
      </c>
      <c r="N83" s="438">
        <f>N81+'07-09'!N90</f>
        <v>197394018</v>
      </c>
      <c r="O83" s="438">
        <f>O81+'07-09'!O90</f>
        <v>0</v>
      </c>
      <c r="P83" s="438">
        <f>P81+'07-09'!P90</f>
        <v>0</v>
      </c>
      <c r="Q83" s="438">
        <f>Q81+'07-09'!Q90</f>
        <v>0</v>
      </c>
      <c r="R83" s="438">
        <f>R81+'07-09'!R90</f>
        <v>1984383750</v>
      </c>
      <c r="S83" s="438">
        <f>S81+'07-09'!S90</f>
        <v>0</v>
      </c>
      <c r="T83" s="438">
        <f>T81+'07-09'!T90</f>
        <v>7860334604</v>
      </c>
      <c r="U83" s="438">
        <f>U81+'07-09'!U90</f>
        <v>2197724604</v>
      </c>
      <c r="V83" s="438">
        <f>V81+'07-09'!V90</f>
        <v>0</v>
      </c>
      <c r="W83" s="438">
        <f>W81+'07-09'!W90</f>
        <v>0</v>
      </c>
      <c r="X83" s="438">
        <f>X81+'07-09'!X90</f>
        <v>0</v>
      </c>
      <c r="Y83" s="438">
        <f>Y81+'07-09'!Y90</f>
        <v>0</v>
      </c>
      <c r="Z83" s="438">
        <f>Z81+'07-09'!Z90</f>
        <v>646000000</v>
      </c>
      <c r="AA83" s="438">
        <f>AA81+'07-09'!AA90</f>
        <v>646000000</v>
      </c>
      <c r="AB83" s="438">
        <f>AB81+'07-09'!AB90</f>
        <v>0</v>
      </c>
      <c r="AC83" s="438">
        <f>AC81+'07-09'!AC90</f>
        <v>0</v>
      </c>
      <c r="AD83" s="438">
        <f>AD81+'07-09'!AD90</f>
        <v>0</v>
      </c>
      <c r="AE83" s="438">
        <f>AE81+'07-09'!AE90</f>
        <v>0</v>
      </c>
      <c r="AF83" s="438">
        <f>AF81+'07-09'!AF90</f>
        <v>2041200</v>
      </c>
      <c r="AG83" s="438">
        <f>AG81+'07-09'!AG90</f>
        <v>0</v>
      </c>
      <c r="AH83" s="438">
        <f>AH81+'07-09'!AH90</f>
        <v>0</v>
      </c>
      <c r="AI83" s="438">
        <f>AI81+'07-09'!AI90</f>
        <v>2041200</v>
      </c>
      <c r="AJ83" s="438">
        <f>AJ81+'07-09'!AJ90</f>
        <v>747244</v>
      </c>
      <c r="AK83" s="438">
        <f>AK81+'07-09'!AK90</f>
        <v>747244</v>
      </c>
      <c r="AL83" s="438">
        <f>AL81+'07-09'!AL90</f>
        <v>0</v>
      </c>
      <c r="AM83" s="438">
        <f>AM81+'07-09'!AM90</f>
        <v>0</v>
      </c>
      <c r="AN83" s="438">
        <f>AN81+'07-09'!AN90</f>
        <v>0</v>
      </c>
      <c r="AO83" s="438">
        <f>AO81+'07-09'!AO90</f>
        <v>0</v>
      </c>
      <c r="AP83" s="438">
        <f>AP81+'07-09'!AP90</f>
        <v>0</v>
      </c>
      <c r="AQ83" s="438">
        <f>AQ81+'07-09'!AQ90</f>
        <v>0</v>
      </c>
      <c r="AR83" s="438">
        <f>AR81+'07-09'!AR90</f>
        <v>0</v>
      </c>
      <c r="AS83" s="438">
        <f>AS81+'07-09'!AS90</f>
        <v>0</v>
      </c>
      <c r="AT83" s="438">
        <f>AT81+'07-09'!AT90</f>
        <v>0</v>
      </c>
      <c r="AU83" s="438">
        <f>AU81+'07-09'!AU90</f>
        <v>0</v>
      </c>
      <c r="AV83" s="438">
        <f>AV81+'07-09'!AV90</f>
        <v>0</v>
      </c>
      <c r="AW83" s="438">
        <f>AW81+'07-09'!AW90</f>
        <v>747244</v>
      </c>
    </row>
    <row r="84" spans="1:49" ht="12" customHeight="1">
      <c r="B84" s="443"/>
      <c r="C84" s="444"/>
      <c r="D84" s="444"/>
      <c r="E84" s="444"/>
      <c r="F84" s="444"/>
      <c r="G84" s="445"/>
      <c r="H84" s="445"/>
      <c r="I84" s="444"/>
      <c r="J84" s="444"/>
      <c r="K84" s="444"/>
      <c r="Z84" s="444"/>
      <c r="AA84" s="444"/>
      <c r="AB84" s="444"/>
      <c r="AC84" s="445"/>
      <c r="AD84" s="445"/>
      <c r="AE84" s="445"/>
      <c r="AF84" s="445"/>
      <c r="AG84" s="461"/>
      <c r="AH84" s="444"/>
      <c r="AI84" s="444"/>
      <c r="AJ84" s="444"/>
      <c r="AK84" s="444"/>
      <c r="AN84" s="444"/>
      <c r="AO84" s="444"/>
      <c r="AP84" s="444"/>
      <c r="AQ84" s="444"/>
      <c r="AR84" s="444"/>
      <c r="AS84" s="444"/>
      <c r="AV84" s="444"/>
      <c r="AW84" s="444"/>
    </row>
    <row r="85" spans="1:49" ht="12" customHeight="1">
      <c r="B85" s="443"/>
      <c r="C85" s="444"/>
      <c r="D85" s="444"/>
      <c r="E85" s="444"/>
      <c r="F85" s="444"/>
      <c r="G85" s="445"/>
      <c r="H85" s="445"/>
      <c r="I85" s="444"/>
      <c r="J85" s="444"/>
      <c r="K85" s="444"/>
      <c r="Z85" s="444"/>
      <c r="AA85" s="444"/>
      <c r="AB85" s="444"/>
      <c r="AC85" s="445"/>
      <c r="AD85" s="445"/>
      <c r="AE85" s="445"/>
      <c r="AF85" s="445"/>
      <c r="AG85" s="461"/>
      <c r="AH85" s="444"/>
      <c r="AI85" s="444"/>
      <c r="AJ85" s="444"/>
      <c r="AK85" s="444"/>
      <c r="AN85" s="444"/>
      <c r="AO85" s="444"/>
      <c r="AP85" s="444"/>
      <c r="AQ85" s="444"/>
      <c r="AR85" s="444"/>
      <c r="AS85" s="444"/>
      <c r="AV85" s="444"/>
      <c r="AW85" s="444"/>
    </row>
    <row r="86" spans="1:49" ht="12" customHeight="1">
      <c r="J86" s="446"/>
      <c r="K86" s="446"/>
      <c r="L86" s="446">
        <v>2367123</v>
      </c>
      <c r="M86" s="469"/>
      <c r="N86" s="469"/>
      <c r="O86" s="469"/>
      <c r="P86" s="446"/>
      <c r="AC86" s="400"/>
      <c r="AD86" s="400"/>
      <c r="AE86" s="400"/>
      <c r="AF86" s="400"/>
      <c r="AG86" s="470"/>
    </row>
    <row r="87" spans="1:49" s="406" customFormat="1" ht="12" customHeight="1">
      <c r="F87" s="471"/>
      <c r="G87" s="472"/>
      <c r="H87" s="472"/>
      <c r="P87" s="473"/>
      <c r="X87" s="399"/>
      <c r="Y87" s="399"/>
      <c r="AC87" s="472"/>
      <c r="AD87" s="472"/>
      <c r="AE87" s="472"/>
      <c r="AF87" s="472"/>
      <c r="AG87" s="474"/>
      <c r="AL87" s="399"/>
      <c r="AM87" s="399"/>
      <c r="AT87" s="399"/>
      <c r="AU87" s="399"/>
    </row>
    <row r="88" spans="1:49" ht="12" customHeight="1">
      <c r="L88" s="421">
        <f>L82-L86</f>
        <v>498538104</v>
      </c>
      <c r="AC88" s="400"/>
      <c r="AD88" s="400"/>
      <c r="AE88" s="400"/>
      <c r="AF88" s="400"/>
      <c r="AG88" s="470"/>
    </row>
    <row r="89" spans="1:49">
      <c r="J89" s="421"/>
      <c r="K89" s="421"/>
    </row>
    <row r="90" spans="1:49">
      <c r="R90" s="421"/>
    </row>
    <row r="91" spans="1:49">
      <c r="F91" s="421"/>
      <c r="R91" s="421"/>
    </row>
    <row r="92" spans="1:49">
      <c r="F92" s="421"/>
      <c r="R92" s="421"/>
    </row>
    <row r="93" spans="1:49">
      <c r="F93" s="421"/>
      <c r="G93" s="421"/>
      <c r="R93" s="421"/>
    </row>
    <row r="94" spans="1:49">
      <c r="F94" s="421"/>
      <c r="R94" s="421"/>
    </row>
    <row r="95" spans="1:49">
      <c r="F95" s="421"/>
      <c r="R95" s="421"/>
    </row>
    <row r="96" spans="1:49">
      <c r="F96" s="421"/>
      <c r="M96" s="446"/>
      <c r="N96" s="446"/>
      <c r="O96" s="446"/>
      <c r="P96" s="446"/>
      <c r="R96" s="421"/>
    </row>
    <row r="97" spans="5:16">
      <c r="E97" s="457"/>
      <c r="F97" s="421"/>
      <c r="M97" s="446"/>
      <c r="N97" s="446"/>
      <c r="O97" s="446"/>
      <c r="P97" s="446"/>
    </row>
    <row r="98" spans="5:16">
      <c r="F98" s="446"/>
      <c r="M98" s="446"/>
      <c r="N98" s="446"/>
      <c r="O98" s="446"/>
      <c r="P98" s="446"/>
    </row>
    <row r="99" spans="5:16">
      <c r="F99" s="446"/>
      <c r="M99" s="446"/>
      <c r="N99" s="446"/>
      <c r="O99" s="446"/>
      <c r="P99" s="446"/>
    </row>
    <row r="100" spans="5:16">
      <c r="E100" s="446"/>
      <c r="F100" s="446"/>
      <c r="M100" s="446"/>
      <c r="N100" s="446"/>
      <c r="O100" s="446"/>
      <c r="P100" s="446"/>
    </row>
    <row r="101" spans="5:16">
      <c r="E101" s="446"/>
      <c r="F101" s="446"/>
      <c r="M101" s="446"/>
      <c r="N101" s="446"/>
      <c r="O101" s="446"/>
      <c r="P101" s="446"/>
    </row>
    <row r="102" spans="5:16">
      <c r="E102" s="446"/>
      <c r="F102" s="446"/>
      <c r="M102" s="446"/>
      <c r="N102" s="446"/>
      <c r="O102" s="446"/>
      <c r="P102" s="446"/>
    </row>
    <row r="103" spans="5:16">
      <c r="E103" s="446"/>
      <c r="F103" s="446"/>
      <c r="M103" s="446"/>
      <c r="N103" s="446"/>
      <c r="O103" s="446"/>
      <c r="P103" s="446"/>
    </row>
    <row r="104" spans="5:16">
      <c r="E104" s="446"/>
      <c r="F104" s="446"/>
      <c r="M104" s="446"/>
      <c r="N104" s="446"/>
      <c r="O104" s="446"/>
      <c r="P104" s="446"/>
    </row>
    <row r="105" spans="5:16">
      <c r="E105" s="446"/>
      <c r="F105" s="446"/>
      <c r="M105" s="446"/>
      <c r="N105" s="446"/>
      <c r="O105" s="446"/>
      <c r="P105" s="446"/>
    </row>
    <row r="106" spans="5:16">
      <c r="F106" s="446"/>
      <c r="M106" s="446"/>
      <c r="N106" s="446"/>
      <c r="O106" s="446"/>
      <c r="P106" s="446"/>
    </row>
    <row r="107" spans="5:16">
      <c r="F107" s="446"/>
      <c r="M107" s="446"/>
      <c r="N107" s="446"/>
      <c r="O107" s="446"/>
      <c r="P107" s="446"/>
    </row>
    <row r="108" spans="5:16">
      <c r="F108" s="446"/>
      <c r="M108" s="446"/>
      <c r="N108" s="446"/>
      <c r="O108" s="446"/>
      <c r="P108" s="446"/>
    </row>
    <row r="109" spans="5:16">
      <c r="F109" s="446"/>
      <c r="M109" s="446"/>
      <c r="N109" s="446"/>
      <c r="O109" s="446"/>
      <c r="P109" s="446"/>
    </row>
    <row r="110" spans="5:16">
      <c r="F110" s="446"/>
      <c r="M110" s="446"/>
      <c r="N110" s="446"/>
      <c r="O110" s="446"/>
      <c r="P110" s="446"/>
    </row>
    <row r="111" spans="5:16">
      <c r="F111" s="446"/>
      <c r="M111" s="446"/>
      <c r="N111" s="446"/>
      <c r="O111" s="446"/>
      <c r="P111" s="446"/>
    </row>
    <row r="112" spans="5:16">
      <c r="M112" s="446"/>
      <c r="N112" s="446"/>
      <c r="O112" s="446"/>
      <c r="P112" s="446"/>
    </row>
    <row r="114" spans="13:16">
      <c r="M114" s="446"/>
      <c r="N114" s="446"/>
      <c r="O114" s="446"/>
      <c r="P114" s="446"/>
    </row>
    <row r="115" spans="13:16">
      <c r="M115" s="446"/>
      <c r="N115" s="446"/>
      <c r="O115" s="446"/>
      <c r="P115" s="446"/>
    </row>
    <row r="116" spans="13:16">
      <c r="M116" s="446"/>
      <c r="N116" s="446"/>
      <c r="O116" s="446"/>
      <c r="P116" s="446"/>
    </row>
    <row r="117" spans="13:16">
      <c r="M117" s="446"/>
      <c r="N117" s="446"/>
      <c r="O117" s="446"/>
      <c r="P117" s="446"/>
    </row>
    <row r="118" spans="13:16">
      <c r="M118" s="446"/>
      <c r="N118" s="446"/>
      <c r="O118" s="446"/>
      <c r="P118" s="446"/>
    </row>
    <row r="119" spans="13:16">
      <c r="M119" s="446"/>
      <c r="N119" s="446"/>
      <c r="O119" s="446"/>
      <c r="P119" s="446"/>
    </row>
    <row r="132" spans="13:15">
      <c r="M132" s="446"/>
      <c r="N132" s="446"/>
      <c r="O132" s="446"/>
    </row>
    <row r="149" spans="13:16">
      <c r="P149" s="446"/>
    </row>
    <row r="150" spans="13:16">
      <c r="P150" s="446"/>
    </row>
    <row r="151" spans="13:16">
      <c r="M151" s="446"/>
      <c r="N151" s="446"/>
      <c r="O151" s="446"/>
      <c r="P151" s="446"/>
    </row>
    <row r="152" spans="13:16">
      <c r="M152" s="446"/>
      <c r="N152" s="446"/>
      <c r="O152" s="446"/>
      <c r="P152" s="446"/>
    </row>
    <row r="153" spans="13:16">
      <c r="M153" s="446"/>
      <c r="N153" s="446"/>
      <c r="O153" s="446"/>
    </row>
    <row r="154" spans="13:16">
      <c r="M154" s="446"/>
      <c r="N154" s="446"/>
      <c r="O154" s="446"/>
    </row>
    <row r="156" spans="13:16">
      <c r="M156" s="446"/>
      <c r="N156" s="446"/>
      <c r="O156" s="446"/>
      <c r="P156" s="446"/>
    </row>
    <row r="157" spans="13:16">
      <c r="M157" s="446"/>
      <c r="N157" s="446"/>
      <c r="O157" s="446"/>
      <c r="P157" s="446"/>
    </row>
    <row r="164" spans="13:16">
      <c r="M164" s="446"/>
      <c r="N164" s="446"/>
      <c r="O164" s="446"/>
      <c r="P164" s="446"/>
    </row>
    <row r="165" spans="13:16">
      <c r="M165" s="446"/>
      <c r="N165" s="446"/>
      <c r="O165" s="446"/>
      <c r="P165" s="446"/>
    </row>
    <row r="166" spans="13:16">
      <c r="M166" s="446"/>
      <c r="N166" s="446"/>
      <c r="O166" s="446"/>
      <c r="P166" s="446"/>
    </row>
    <row r="170" spans="13:16">
      <c r="M170" s="446"/>
      <c r="N170" s="446"/>
      <c r="O170" s="446"/>
      <c r="P170" s="446"/>
    </row>
    <row r="171" spans="13:16">
      <c r="M171" s="446"/>
      <c r="N171" s="446"/>
      <c r="O171" s="446"/>
      <c r="P171" s="446"/>
    </row>
    <row r="172" spans="13:16">
      <c r="M172" s="446"/>
      <c r="N172" s="446"/>
      <c r="O172" s="446"/>
      <c r="P172" s="446"/>
    </row>
    <row r="173" spans="13:16">
      <c r="M173" s="446"/>
      <c r="N173" s="446"/>
      <c r="O173" s="446"/>
      <c r="P173" s="446"/>
    </row>
    <row r="174" spans="13:16">
      <c r="M174" s="446"/>
      <c r="N174" s="446"/>
      <c r="O174" s="446"/>
      <c r="P174" s="446"/>
    </row>
    <row r="175" spans="13:16">
      <c r="M175" s="446"/>
      <c r="N175" s="446"/>
      <c r="O175" s="446"/>
      <c r="P175" s="446"/>
    </row>
    <row r="176" spans="13:16">
      <c r="M176" s="446"/>
      <c r="N176" s="446"/>
      <c r="O176" s="446"/>
      <c r="P176" s="446"/>
    </row>
    <row r="177" spans="13:16">
      <c r="M177" s="446"/>
      <c r="N177" s="446"/>
      <c r="O177" s="446"/>
      <c r="P177" s="446"/>
    </row>
    <row r="178" spans="13:16">
      <c r="M178" s="446"/>
      <c r="N178" s="446"/>
      <c r="O178" s="446"/>
      <c r="P178" s="446"/>
    </row>
    <row r="179" spans="13:16">
      <c r="M179" s="446"/>
      <c r="N179" s="446"/>
      <c r="O179" s="446"/>
      <c r="P179" s="446"/>
    </row>
    <row r="180" spans="13:16">
      <c r="M180" s="446"/>
      <c r="N180" s="446"/>
      <c r="O180" s="446"/>
      <c r="P180" s="446"/>
    </row>
    <row r="181" spans="13:16">
      <c r="M181" s="446"/>
      <c r="N181" s="446"/>
      <c r="O181" s="446"/>
      <c r="P181" s="446"/>
    </row>
    <row r="182" spans="13:16">
      <c r="M182" s="446"/>
      <c r="N182" s="446"/>
      <c r="O182" s="446"/>
      <c r="P182" s="446"/>
    </row>
    <row r="183" spans="13:16">
      <c r="M183" s="446"/>
      <c r="N183" s="446"/>
      <c r="O183" s="446"/>
      <c r="P183" s="446"/>
    </row>
    <row r="184" spans="13:16">
      <c r="M184" s="446"/>
      <c r="N184" s="446"/>
      <c r="O184" s="446"/>
      <c r="P184" s="446"/>
    </row>
    <row r="185" spans="13:16">
      <c r="M185" s="446"/>
      <c r="N185" s="446"/>
      <c r="O185" s="446"/>
      <c r="P185" s="446"/>
    </row>
    <row r="186" spans="13:16">
      <c r="M186" s="446"/>
      <c r="N186" s="446"/>
      <c r="O186" s="446"/>
      <c r="P186" s="446"/>
    </row>
    <row r="187" spans="13:16">
      <c r="M187" s="446"/>
      <c r="N187" s="446"/>
      <c r="O187" s="446"/>
      <c r="P187" s="446"/>
    </row>
    <row r="188" spans="13:16">
      <c r="M188" s="446"/>
      <c r="N188" s="446"/>
      <c r="O188" s="446"/>
      <c r="P188" s="446"/>
    </row>
    <row r="189" spans="13:16">
      <c r="M189" s="446"/>
      <c r="N189" s="446"/>
      <c r="O189" s="446"/>
      <c r="P189" s="446"/>
    </row>
    <row r="190" spans="13:16">
      <c r="M190" s="446"/>
      <c r="N190" s="446"/>
      <c r="O190" s="446"/>
      <c r="P190" s="446"/>
    </row>
    <row r="191" spans="13:16">
      <c r="M191" s="446"/>
      <c r="N191" s="446"/>
      <c r="O191" s="446"/>
      <c r="P191" s="446"/>
    </row>
    <row r="192" spans="13:16">
      <c r="M192" s="446"/>
      <c r="N192" s="446"/>
      <c r="O192" s="446"/>
      <c r="P192" s="446"/>
    </row>
    <row r="193" spans="13:16">
      <c r="M193" s="446"/>
      <c r="N193" s="446"/>
      <c r="O193" s="446"/>
      <c r="P193" s="446"/>
    </row>
    <row r="194" spans="13:16">
      <c r="M194" s="446"/>
      <c r="N194" s="446"/>
      <c r="O194" s="446"/>
      <c r="P194" s="446"/>
    </row>
    <row r="195" spans="13:16">
      <c r="M195" s="446"/>
      <c r="N195" s="446"/>
      <c r="O195" s="446"/>
      <c r="P195" s="446"/>
    </row>
    <row r="196" spans="13:16">
      <c r="M196" s="446"/>
      <c r="N196" s="446"/>
      <c r="O196" s="446"/>
      <c r="P196" s="446"/>
    </row>
    <row r="197" spans="13:16">
      <c r="M197" s="446"/>
      <c r="N197" s="446"/>
      <c r="O197" s="446"/>
      <c r="P197" s="446"/>
    </row>
    <row r="198" spans="13:16">
      <c r="M198" s="446"/>
      <c r="N198" s="446"/>
      <c r="O198" s="446"/>
      <c r="P198" s="446"/>
    </row>
    <row r="199" spans="13:16">
      <c r="M199" s="446"/>
      <c r="N199" s="446"/>
      <c r="O199" s="446"/>
      <c r="P199" s="446"/>
    </row>
    <row r="200" spans="13:16">
      <c r="M200" s="446"/>
      <c r="N200" s="446"/>
      <c r="O200" s="446"/>
      <c r="P200" s="446"/>
    </row>
    <row r="201" spans="13:16">
      <c r="M201" s="446"/>
      <c r="N201" s="446"/>
      <c r="O201" s="446"/>
      <c r="P201" s="446"/>
    </row>
    <row r="202" spans="13:16">
      <c r="M202" s="446"/>
      <c r="N202" s="446"/>
      <c r="O202" s="446"/>
      <c r="P202" s="446"/>
    </row>
    <row r="203" spans="13:16">
      <c r="M203" s="446"/>
      <c r="N203" s="446"/>
      <c r="O203" s="446"/>
      <c r="P203" s="446"/>
    </row>
    <row r="204" spans="13:16">
      <c r="M204" s="446"/>
      <c r="N204" s="446"/>
      <c r="O204" s="446"/>
      <c r="P204" s="446"/>
    </row>
    <row r="205" spans="13:16">
      <c r="M205" s="446"/>
      <c r="N205" s="446"/>
      <c r="O205" s="446"/>
      <c r="P205" s="446"/>
    </row>
    <row r="206" spans="13:16">
      <c r="M206" s="446"/>
      <c r="N206" s="446"/>
      <c r="O206" s="446"/>
      <c r="P206" s="446"/>
    </row>
    <row r="207" spans="13:16">
      <c r="M207" s="446"/>
      <c r="N207" s="446"/>
      <c r="O207" s="446"/>
      <c r="P207" s="446"/>
    </row>
    <row r="208" spans="13:16">
      <c r="M208" s="446"/>
      <c r="N208" s="446"/>
      <c r="O208" s="446"/>
      <c r="P208" s="446"/>
    </row>
    <row r="209" spans="13:16">
      <c r="M209" s="446"/>
      <c r="N209" s="446"/>
      <c r="O209" s="446"/>
      <c r="P209" s="446"/>
    </row>
    <row r="210" spans="13:16">
      <c r="M210" s="446"/>
      <c r="N210" s="446"/>
      <c r="O210" s="446"/>
      <c r="P210" s="446"/>
    </row>
    <row r="211" spans="13:16">
      <c r="M211" s="446"/>
      <c r="N211" s="446"/>
      <c r="O211" s="446"/>
      <c r="P211" s="446"/>
    </row>
    <row r="212" spans="13:16">
      <c r="M212" s="446"/>
      <c r="N212" s="446"/>
      <c r="O212" s="446"/>
      <c r="P212" s="446"/>
    </row>
    <row r="213" spans="13:16">
      <c r="M213" s="446"/>
      <c r="N213" s="446"/>
      <c r="O213" s="446"/>
      <c r="P213" s="446"/>
    </row>
    <row r="214" spans="13:16">
      <c r="M214" s="446"/>
      <c r="N214" s="446"/>
      <c r="O214" s="446"/>
      <c r="P214" s="446"/>
    </row>
    <row r="215" spans="13:16">
      <c r="M215" s="446"/>
      <c r="N215" s="446"/>
      <c r="O215" s="446"/>
      <c r="P215" s="446"/>
    </row>
    <row r="216" spans="13:16">
      <c r="M216" s="446"/>
      <c r="N216" s="446"/>
      <c r="O216" s="446"/>
      <c r="P216" s="446"/>
    </row>
    <row r="217" spans="13:16">
      <c r="M217" s="446"/>
      <c r="N217" s="446"/>
      <c r="O217" s="446"/>
      <c r="P217" s="446"/>
    </row>
    <row r="218" spans="13:16">
      <c r="M218" s="446"/>
      <c r="N218" s="446"/>
      <c r="O218" s="446"/>
      <c r="P218" s="446"/>
    </row>
    <row r="219" spans="13:16">
      <c r="M219" s="446"/>
      <c r="N219" s="446"/>
      <c r="O219" s="446"/>
      <c r="P219" s="446"/>
    </row>
    <row r="220" spans="13:16">
      <c r="M220" s="446"/>
      <c r="N220" s="446"/>
      <c r="O220" s="446"/>
      <c r="P220" s="446"/>
    </row>
    <row r="221" spans="13:16">
      <c r="M221" s="446"/>
      <c r="N221" s="446"/>
      <c r="O221" s="446"/>
      <c r="P221" s="446"/>
    </row>
    <row r="222" spans="13:16">
      <c r="M222" s="446"/>
      <c r="N222" s="446"/>
      <c r="O222" s="446"/>
      <c r="P222" s="446"/>
    </row>
    <row r="223" spans="13:16">
      <c r="M223" s="446"/>
      <c r="N223" s="446"/>
      <c r="O223" s="446"/>
      <c r="P223" s="446"/>
    </row>
    <row r="224" spans="13:16">
      <c r="M224" s="446"/>
      <c r="N224" s="446"/>
      <c r="O224" s="446"/>
      <c r="P224" s="446"/>
    </row>
    <row r="225" spans="13:16">
      <c r="M225" s="446"/>
      <c r="N225" s="446"/>
      <c r="O225" s="446"/>
      <c r="P225" s="446"/>
    </row>
    <row r="226" spans="13:16">
      <c r="M226" s="446"/>
      <c r="N226" s="446"/>
      <c r="O226" s="446"/>
      <c r="P226" s="446"/>
    </row>
    <row r="227" spans="13:16">
      <c r="M227" s="446"/>
      <c r="N227" s="446"/>
      <c r="O227" s="446"/>
      <c r="P227" s="446"/>
    </row>
    <row r="228" spans="13:16">
      <c r="M228" s="446"/>
      <c r="N228" s="446"/>
      <c r="O228" s="446"/>
      <c r="P228" s="446"/>
    </row>
    <row r="229" spans="13:16">
      <c r="M229" s="446"/>
      <c r="N229" s="446"/>
      <c r="O229" s="446"/>
      <c r="P229" s="446"/>
    </row>
    <row r="230" spans="13:16">
      <c r="M230" s="446"/>
      <c r="N230" s="446"/>
      <c r="O230" s="446"/>
      <c r="P230" s="446"/>
    </row>
    <row r="231" spans="13:16">
      <c r="M231" s="446"/>
      <c r="N231" s="446"/>
      <c r="O231" s="446"/>
      <c r="P231" s="446"/>
    </row>
    <row r="232" spans="13:16">
      <c r="M232" s="446"/>
      <c r="N232" s="446"/>
      <c r="O232" s="446"/>
      <c r="P232" s="446"/>
    </row>
    <row r="233" spans="13:16">
      <c r="M233" s="446"/>
      <c r="N233" s="446"/>
      <c r="O233" s="446"/>
      <c r="P233" s="446"/>
    </row>
    <row r="234" spans="13:16">
      <c r="M234" s="446"/>
      <c r="N234" s="446"/>
      <c r="O234" s="446"/>
      <c r="P234" s="446"/>
    </row>
    <row r="235" spans="13:16">
      <c r="M235" s="446"/>
      <c r="N235" s="446"/>
      <c r="O235" s="446"/>
      <c r="P235" s="446"/>
    </row>
    <row r="236" spans="13:16">
      <c r="M236" s="446"/>
      <c r="N236" s="446"/>
      <c r="O236" s="446"/>
      <c r="P236" s="446"/>
    </row>
    <row r="237" spans="13:16">
      <c r="M237" s="446"/>
      <c r="N237" s="446"/>
      <c r="O237" s="446"/>
      <c r="P237" s="446"/>
    </row>
    <row r="238" spans="13:16">
      <c r="M238" s="446"/>
      <c r="N238" s="446"/>
      <c r="O238" s="446"/>
      <c r="P238" s="446"/>
    </row>
    <row r="239" spans="13:16">
      <c r="M239" s="446"/>
      <c r="N239" s="446"/>
      <c r="O239" s="446"/>
      <c r="P239" s="446"/>
    </row>
    <row r="240" spans="13:16">
      <c r="M240" s="446"/>
      <c r="N240" s="446"/>
      <c r="O240" s="446"/>
      <c r="P240" s="446"/>
    </row>
    <row r="241" spans="13:16">
      <c r="M241" s="446"/>
      <c r="N241" s="446"/>
      <c r="O241" s="446"/>
      <c r="P241" s="446"/>
    </row>
    <row r="242" spans="13:16">
      <c r="M242" s="446"/>
      <c r="N242" s="446"/>
      <c r="O242" s="446"/>
      <c r="P242" s="446"/>
    </row>
    <row r="243" spans="13:16">
      <c r="M243" s="446"/>
      <c r="N243" s="446"/>
      <c r="O243" s="446"/>
      <c r="P243" s="446"/>
    </row>
    <row r="244" spans="13:16">
      <c r="M244" s="446"/>
      <c r="N244" s="446"/>
      <c r="O244" s="446"/>
      <c r="P244" s="446"/>
    </row>
  </sheetData>
  <autoFilter ref="A9:AW83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39"/>
  <sheetViews>
    <sheetView showZeros="0" topLeftCell="A10" workbookViewId="0">
      <selection activeCell="C21" sqref="C21:C26"/>
    </sheetView>
  </sheetViews>
  <sheetFormatPr defaultColWidth="8" defaultRowHeight="13.5"/>
  <cols>
    <col min="1" max="1" width="5.5703125" style="12" customWidth="1"/>
    <col min="2" max="2" width="48.42578125" style="12" customWidth="1"/>
    <col min="3" max="4" width="13.140625" style="12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15" customHeight="1">
      <c r="A1" s="511" t="s">
        <v>200</v>
      </c>
      <c r="B1" s="511"/>
      <c r="C1" s="511"/>
      <c r="D1" s="511"/>
      <c r="E1" s="511"/>
    </row>
    <row r="2" spans="1:10" s="13" customFormat="1" ht="14.25" customHeight="1">
      <c r="A2" s="512" t="s">
        <v>50</v>
      </c>
      <c r="B2" s="514" t="s">
        <v>51</v>
      </c>
      <c r="C2" s="508" t="s">
        <v>52</v>
      </c>
      <c r="D2" s="509"/>
      <c r="E2" s="508" t="s">
        <v>53</v>
      </c>
      <c r="F2" s="509"/>
      <c r="G2" s="508" t="s">
        <v>68</v>
      </c>
      <c r="H2" s="509"/>
      <c r="I2" s="510" t="s">
        <v>74</v>
      </c>
    </row>
    <row r="3" spans="1:10" s="13" customFormat="1" ht="14.25" customHeight="1">
      <c r="A3" s="513"/>
      <c r="B3" s="515"/>
      <c r="C3" s="113" t="s">
        <v>69</v>
      </c>
      <c r="D3" s="113" t="s">
        <v>70</v>
      </c>
      <c r="E3" s="113" t="s">
        <v>69</v>
      </c>
      <c r="F3" s="113" t="s">
        <v>70</v>
      </c>
      <c r="G3" s="113" t="s">
        <v>69</v>
      </c>
      <c r="H3" s="113" t="s">
        <v>70</v>
      </c>
      <c r="I3" s="510"/>
    </row>
    <row r="4" spans="1:10" s="13" customFormat="1" ht="16.5" customHeight="1">
      <c r="A4" s="6">
        <f>ROW()-3</f>
        <v>1</v>
      </c>
      <c r="B4" s="7" t="s">
        <v>54</v>
      </c>
      <c r="C4" s="8"/>
      <c r="D4" s="8"/>
      <c r="E4" s="8">
        <f t="array" ref="E4">SUM(IF("331"&amp;B4=KHN&amp;KH,TH))</f>
        <v>100760000</v>
      </c>
      <c r="F4" s="8">
        <f t="array" ref="F4">SUM(IF("331"&amp;B4=KHC&amp;KH,TH))</f>
        <v>100760000</v>
      </c>
      <c r="G4" s="114">
        <f>ROUND(MAX(C4+E4-D4-F4,0),2)</f>
        <v>0</v>
      </c>
      <c r="H4" s="114">
        <f>ROUND(MAX(D4+F4-C4-E4,0),2)</f>
        <v>0</v>
      </c>
      <c r="I4" s="22">
        <f>F4</f>
        <v>100760000</v>
      </c>
    </row>
    <row r="5" spans="1:10" s="13" customFormat="1" ht="16.5" customHeight="1">
      <c r="A5" s="6">
        <f t="shared" ref="A5:A34" si="0">ROW()-3</f>
        <v>2</v>
      </c>
      <c r="B5" s="7" t="s">
        <v>56</v>
      </c>
      <c r="C5" s="8"/>
      <c r="D5" s="8"/>
      <c r="E5" s="8">
        <f t="array" ref="E5">SUM(IF("331"&amp;B5=KHN&amp;KH,TH))</f>
        <v>60500000</v>
      </c>
      <c r="F5" s="8">
        <f t="array" ref="F5">SUM(IF("331"&amp;B5=KHC&amp;KH,TH))</f>
        <v>60500000</v>
      </c>
      <c r="G5" s="114">
        <f>ROUND(MAX(C5+E5-D5-F5,0),2)</f>
        <v>0</v>
      </c>
      <c r="H5" s="114">
        <f>ROUND(MAX(D5+F5-C5-E5,0),2)</f>
        <v>0</v>
      </c>
      <c r="I5" s="22">
        <f t="shared" ref="I5:I15" si="1">F5</f>
        <v>60500000</v>
      </c>
    </row>
    <row r="6" spans="1:10" s="14" customFormat="1" ht="16.5" customHeight="1">
      <c r="A6" s="6">
        <f t="shared" si="0"/>
        <v>3</v>
      </c>
      <c r="B6" s="9" t="s">
        <v>71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114">
        <f t="shared" ref="G6" si="2">ROUND(MAX(C6+E6-D6-F6,0),2)</f>
        <v>0</v>
      </c>
      <c r="H6" s="114">
        <f t="shared" ref="H6" si="3">ROUND(MAX(D6+F6-C6-E6,0),2)</f>
        <v>0</v>
      </c>
      <c r="I6" s="22">
        <f t="shared" si="1"/>
        <v>80000000</v>
      </c>
    </row>
    <row r="7" spans="1:10" s="14" customFormat="1" ht="16.5" customHeight="1">
      <c r="A7" s="6">
        <f t="shared" si="0"/>
        <v>4</v>
      </c>
      <c r="B7" s="9" t="s">
        <v>80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114">
        <f t="shared" ref="G7:G30" si="4">ROUND(MAX(C7+E7-D7-F7,0),2)</f>
        <v>0</v>
      </c>
      <c r="H7" s="114">
        <f t="shared" ref="H7:H30" si="5">ROUND(MAX(D7+F7-C7-E7,0),2)</f>
        <v>0</v>
      </c>
      <c r="I7" s="22">
        <f t="shared" si="1"/>
        <v>30800005</v>
      </c>
    </row>
    <row r="8" spans="1:10" s="14" customFormat="1" ht="16.5" customHeight="1">
      <c r="A8" s="6">
        <f t="shared" si="0"/>
        <v>5</v>
      </c>
      <c r="B8" s="9" t="s">
        <v>78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114">
        <f t="shared" si="4"/>
        <v>0</v>
      </c>
      <c r="H8" s="114">
        <f t="shared" si="5"/>
        <v>0</v>
      </c>
      <c r="I8" s="22">
        <f t="shared" si="1"/>
        <v>16327199</v>
      </c>
    </row>
    <row r="9" spans="1:10" s="14" customFormat="1" ht="16.5" customHeight="1">
      <c r="A9" s="6">
        <f t="shared" si="0"/>
        <v>6</v>
      </c>
      <c r="B9" s="9" t="s">
        <v>57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114">
        <f t="shared" si="4"/>
        <v>0</v>
      </c>
      <c r="H9" s="114">
        <f t="shared" si="5"/>
        <v>0</v>
      </c>
      <c r="I9" s="22">
        <f t="shared" si="1"/>
        <v>1587337400</v>
      </c>
    </row>
    <row r="10" spans="1:10" s="14" customFormat="1" ht="16.5" customHeight="1">
      <c r="A10" s="6">
        <f t="shared" si="0"/>
        <v>7</v>
      </c>
      <c r="B10" s="9" t="s">
        <v>59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114">
        <f t="shared" si="4"/>
        <v>0</v>
      </c>
      <c r="H10" s="114">
        <f t="shared" si="5"/>
        <v>0</v>
      </c>
      <c r="I10" s="22">
        <f t="shared" si="1"/>
        <v>289000000</v>
      </c>
    </row>
    <row r="11" spans="1:10" s="14" customFormat="1" ht="16.5" customHeight="1">
      <c r="A11" s="6">
        <f t="shared" si="0"/>
        <v>8</v>
      </c>
      <c r="B11" s="9" t="s">
        <v>187</v>
      </c>
      <c r="C11" s="10"/>
      <c r="D11" s="10"/>
      <c r="E11" s="8">
        <f t="array" ref="E11">SUM(IF("331"&amp;B11=KHN&amp;KH,TH))</f>
        <v>0</v>
      </c>
      <c r="F11" s="8">
        <f t="array" ref="F11">SUM(IF("331"&amp;B11=KHC&amp;KH,TH))</f>
        <v>0</v>
      </c>
      <c r="G11" s="114">
        <f>ROUND(MAX(C11+E11-D11-F11,0),2)</f>
        <v>0</v>
      </c>
      <c r="H11" s="114">
        <f>ROUND(MAX(D11+F11-C11-E11,0),2)</f>
        <v>0</v>
      </c>
      <c r="I11" s="22">
        <f t="shared" si="1"/>
        <v>0</v>
      </c>
      <c r="J11" s="21"/>
    </row>
    <row r="12" spans="1:10" s="14" customFormat="1" ht="16.5" customHeight="1">
      <c r="A12" s="6">
        <f t="shared" si="0"/>
        <v>9</v>
      </c>
      <c r="B12" s="9" t="s">
        <v>190</v>
      </c>
      <c r="C12" s="10"/>
      <c r="D12" s="10"/>
      <c r="E12" s="8">
        <f t="array" ref="E12">SUM(IF("331"&amp;B12=KHN&amp;KH,TH))</f>
        <v>0</v>
      </c>
      <c r="F12" s="8">
        <f t="array" ref="F12">SUM(IF("331"&amp;B12=KHC&amp;KH,TH))</f>
        <v>0</v>
      </c>
      <c r="G12" s="114">
        <f>ROUND(MAX(C12+E12-D12-F12,0),2)</f>
        <v>0</v>
      </c>
      <c r="H12" s="114">
        <f>ROUND(MAX(D12+F12-C12-E12,0),2)</f>
        <v>0</v>
      </c>
      <c r="I12" s="22">
        <f t="shared" si="1"/>
        <v>0</v>
      </c>
      <c r="J12" s="21"/>
    </row>
    <row r="13" spans="1:10" s="14" customFormat="1" ht="16.5" customHeight="1">
      <c r="A13" s="6">
        <f t="shared" si="0"/>
        <v>10</v>
      </c>
      <c r="B13" s="9" t="s">
        <v>192</v>
      </c>
      <c r="C13" s="10"/>
      <c r="D13" s="10"/>
      <c r="E13" s="8">
        <f t="array" ref="E13">SUM(IF("331"&amp;B13=KHN&amp;KH,TH))</f>
        <v>0</v>
      </c>
      <c r="F13" s="8">
        <f t="array" ref="F13">SUM(IF("331"&amp;B13=KHC&amp;KH,TH))</f>
        <v>0</v>
      </c>
      <c r="G13" s="114">
        <f>ROUND(MAX(C13+E13-D13-F13,0),2)</f>
        <v>0</v>
      </c>
      <c r="H13" s="114">
        <f>ROUND(MAX(D13+F13-C13-E13,0),2)</f>
        <v>0</v>
      </c>
      <c r="I13" s="22">
        <f t="shared" si="1"/>
        <v>0</v>
      </c>
      <c r="J13" s="21"/>
    </row>
    <row r="14" spans="1:10" s="14" customFormat="1" ht="16.5" customHeight="1">
      <c r="A14" s="6">
        <f t="shared" si="0"/>
        <v>11</v>
      </c>
      <c r="B14" s="9" t="s">
        <v>198</v>
      </c>
      <c r="C14" s="10"/>
      <c r="D14" s="10"/>
      <c r="E14" s="8">
        <f t="array" ref="E14">SUM(IF("331"&amp;B14=KHN&amp;KH,TH))</f>
        <v>0</v>
      </c>
      <c r="F14" s="8">
        <f t="array" ref="F14">SUM(IF("331"&amp;B14=KHC&amp;KH,TH))</f>
        <v>0</v>
      </c>
      <c r="G14" s="114">
        <f t="shared" ref="G14" si="6">ROUND(MAX(C14+E14-D14-F14,0),2)</f>
        <v>0</v>
      </c>
      <c r="H14" s="114">
        <f t="shared" ref="H14" si="7">ROUND(MAX(D14+F14-C14-E14,0),2)</f>
        <v>0</v>
      </c>
      <c r="I14" s="22">
        <f t="shared" si="1"/>
        <v>0</v>
      </c>
      <c r="J14" s="21"/>
    </row>
    <row r="15" spans="1:10" s="14" customFormat="1" ht="16.5" customHeight="1">
      <c r="A15" s="6">
        <f t="shared" si="0"/>
        <v>12</v>
      </c>
      <c r="B15" s="94" t="s">
        <v>201</v>
      </c>
      <c r="C15" s="10"/>
      <c r="D15" s="10"/>
      <c r="E15" s="8">
        <f t="array" ref="E15">SUM(IF("331"&amp;B15=KHN&amp;KH,TH))</f>
        <v>0</v>
      </c>
      <c r="F15" s="8">
        <f t="array" ref="F15">SUM(IF("331"&amp;B15=KHC&amp;KH,TH))</f>
        <v>0</v>
      </c>
      <c r="G15" s="114">
        <f>ROUND(MAX(C15+E15-D15-F15,0),2)</f>
        <v>0</v>
      </c>
      <c r="H15" s="114">
        <f>ROUND(MAX(D15+F15-C15-E15,0),2)</f>
        <v>0</v>
      </c>
      <c r="I15" s="22">
        <f t="shared" si="1"/>
        <v>0</v>
      </c>
      <c r="J15" s="21"/>
    </row>
    <row r="16" spans="1:10" s="14" customFormat="1" ht="16.5" customHeight="1">
      <c r="A16" s="6">
        <f t="shared" si="0"/>
        <v>13</v>
      </c>
      <c r="B16" s="9" t="s">
        <v>55</v>
      </c>
      <c r="C16" s="10">
        <v>850000000</v>
      </c>
      <c r="D16" s="10"/>
      <c r="E16" s="8">
        <f t="array" ref="E16">SUM(IF("331"&amp;B16=KHN&amp;KH,TH))</f>
        <v>4300000000</v>
      </c>
      <c r="F16" s="8">
        <f t="array" ref="F16">SUM(IF("331"&amp;B16=KHC&amp;KH,TH))</f>
        <v>0</v>
      </c>
      <c r="G16" s="114">
        <f t="shared" si="4"/>
        <v>5150000000</v>
      </c>
      <c r="H16" s="114">
        <f t="shared" si="5"/>
        <v>0</v>
      </c>
      <c r="I16" s="21">
        <v>27013067000</v>
      </c>
      <c r="J16" s="21">
        <f t="shared" ref="J16:J27" si="8">I16-G16</f>
        <v>21863067000</v>
      </c>
    </row>
    <row r="17" spans="1:10" s="14" customFormat="1" ht="16.5" customHeight="1">
      <c r="A17" s="6">
        <f t="shared" si="0"/>
        <v>14</v>
      </c>
      <c r="B17" s="9" t="s">
        <v>75</v>
      </c>
      <c r="C17" s="10"/>
      <c r="D17" s="10"/>
      <c r="E17" s="8">
        <f t="array" ref="E17">SUM(IF("331"&amp;B17=KHN&amp;KH,TH))</f>
        <v>1252610000</v>
      </c>
      <c r="F17" s="8">
        <f t="array" ref="F17">SUM(IF("331"&amp;B17=KHC&amp;KH,TH))</f>
        <v>0</v>
      </c>
      <c r="G17" s="114">
        <f>ROUND(MAX(C17+E17-D17-F17,0),2)</f>
        <v>1252610000</v>
      </c>
      <c r="H17" s="114">
        <f>ROUND(MAX(D17+F17-C17-E17,0),2)</f>
        <v>0</v>
      </c>
      <c r="I17" s="21">
        <v>2508700000</v>
      </c>
      <c r="J17" s="21">
        <f>I17-G17</f>
        <v>1256090000</v>
      </c>
    </row>
    <row r="18" spans="1:10" s="14" customFormat="1" ht="16.5" customHeight="1">
      <c r="A18" s="6">
        <f t="shared" si="0"/>
        <v>15</v>
      </c>
      <c r="B18" s="9" t="s">
        <v>188</v>
      </c>
      <c r="C18" s="10"/>
      <c r="D18" s="10"/>
      <c r="E18" s="8">
        <f t="array" ref="E18">SUM(IF("331"&amp;B18=KHN&amp;KH,TH))</f>
        <v>0</v>
      </c>
      <c r="F18" s="8">
        <f t="array" ref="F18">SUM(IF("331"&amp;B18=KHC&amp;KH,TH))</f>
        <v>0</v>
      </c>
      <c r="G18" s="114">
        <f>ROUND(MAX(C18+E18-D18-F18,0),2)</f>
        <v>0</v>
      </c>
      <c r="H18" s="114">
        <f>ROUND(MAX(D18+F18-C18-E18,0),2)</f>
        <v>0</v>
      </c>
      <c r="I18" s="21">
        <v>226999800</v>
      </c>
      <c r="J18" s="21">
        <f>I18-G18</f>
        <v>226999800</v>
      </c>
    </row>
    <row r="19" spans="1:10" s="14" customFormat="1" ht="16.5" customHeight="1">
      <c r="A19" s="6">
        <f t="shared" si="0"/>
        <v>16</v>
      </c>
      <c r="B19" s="9" t="s">
        <v>107</v>
      </c>
      <c r="C19" s="10"/>
      <c r="D19" s="10"/>
      <c r="E19" s="8">
        <f t="array" ref="E19">SUM(IF("331"&amp;B19=KHN&amp;KH,TH))</f>
        <v>0</v>
      </c>
      <c r="F19" s="8">
        <f t="array" ref="F19">SUM(IF("331"&amp;B19=KHC&amp;KH,TH))</f>
        <v>0</v>
      </c>
      <c r="G19" s="114">
        <f>ROUND(MAX(C19+E19-D19-F19,0),2)</f>
        <v>0</v>
      </c>
      <c r="H19" s="114">
        <f>ROUND(MAX(D19+F19-C19-E19,0),2)</f>
        <v>0</v>
      </c>
      <c r="I19" s="21">
        <f>F19</f>
        <v>0</v>
      </c>
      <c r="J19" s="21"/>
    </row>
    <row r="20" spans="1:10" s="14" customFormat="1" ht="16.5" customHeight="1">
      <c r="A20" s="6">
        <f t="shared" si="0"/>
        <v>17</v>
      </c>
      <c r="B20" s="94" t="s">
        <v>202</v>
      </c>
      <c r="C20" s="10"/>
      <c r="D20" s="10"/>
      <c r="E20" s="8">
        <f t="array" ref="E20">SUM(IF("331"&amp;B20=KHN&amp;KH,TH))</f>
        <v>0</v>
      </c>
      <c r="F20" s="8">
        <f t="array" ref="F20">SUM(IF("331"&amp;B20=KHC&amp;KH,TH))</f>
        <v>0</v>
      </c>
      <c r="G20" s="114">
        <f t="shared" ref="G20" si="9">ROUND(MAX(C20+E20-D20-F20,0),2)</f>
        <v>0</v>
      </c>
      <c r="H20" s="114">
        <f t="shared" ref="H20" si="10">ROUND(MAX(D20+F20-C20-E20,0),2)</f>
        <v>0</v>
      </c>
      <c r="I20" s="21">
        <f>F20</f>
        <v>0</v>
      </c>
      <c r="J20" s="21"/>
    </row>
    <row r="21" spans="1:10" s="14" customFormat="1" ht="16.5" customHeight="1">
      <c r="A21" s="6">
        <f t="shared" si="0"/>
        <v>18</v>
      </c>
      <c r="B21" s="9" t="s">
        <v>102</v>
      </c>
      <c r="C21" s="10"/>
      <c r="D21" s="10"/>
      <c r="E21" s="8">
        <f t="array" ref="E21">SUM(IF("331"&amp;B21=KHN&amp;KH,TH))</f>
        <v>0</v>
      </c>
      <c r="F21" s="8">
        <f t="array" ref="F21">SUM(IF("331"&amp;B21=KHC&amp;KH,TH))</f>
        <v>0</v>
      </c>
      <c r="G21" s="114">
        <f>ROUND(MAX(C21+E21-D21-F21,0),2)</f>
        <v>0</v>
      </c>
      <c r="H21" s="114">
        <f>ROUND(MAX(D21+F21-C21-E21,0),2)</f>
        <v>0</v>
      </c>
      <c r="I21" s="21">
        <v>898744036</v>
      </c>
      <c r="J21" s="21">
        <f>I21-G21</f>
        <v>898744036</v>
      </c>
    </row>
    <row r="22" spans="1:10" s="14" customFormat="1" ht="16.5" customHeight="1">
      <c r="A22" s="6">
        <f t="shared" si="0"/>
        <v>19</v>
      </c>
      <c r="B22" s="9" t="s">
        <v>58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114">
        <f t="shared" si="4"/>
        <v>60000000</v>
      </c>
      <c r="H22" s="114">
        <f t="shared" si="5"/>
        <v>0</v>
      </c>
      <c r="I22" s="21">
        <v>100000000</v>
      </c>
      <c r="J22" s="21">
        <f t="shared" si="8"/>
        <v>40000000</v>
      </c>
    </row>
    <row r="23" spans="1:10" s="14" customFormat="1" ht="16.5" customHeight="1">
      <c r="A23" s="6">
        <f t="shared" si="0"/>
        <v>20</v>
      </c>
      <c r="B23" s="9" t="s">
        <v>72</v>
      </c>
      <c r="C23" s="10"/>
      <c r="D23" s="10"/>
      <c r="E23" s="8">
        <f t="array" ref="E23">SUM(IF("331"&amp;B23=KHN&amp;KH,TH))</f>
        <v>50000000</v>
      </c>
      <c r="F23" s="8">
        <f t="array" ref="F23">SUM(IF("331"&amp;B23=KHC&amp;KH,TH))</f>
        <v>0</v>
      </c>
      <c r="G23" s="114">
        <f t="shared" si="4"/>
        <v>50000000</v>
      </c>
      <c r="H23" s="114">
        <f t="shared" si="5"/>
        <v>0</v>
      </c>
      <c r="I23" s="21">
        <v>200000000</v>
      </c>
      <c r="J23" s="21">
        <f t="shared" si="8"/>
        <v>150000000</v>
      </c>
    </row>
    <row r="24" spans="1:10" s="14" customFormat="1" ht="16.5" customHeight="1">
      <c r="A24" s="6">
        <f t="shared" si="0"/>
        <v>21</v>
      </c>
      <c r="B24" s="9" t="s">
        <v>84</v>
      </c>
      <c r="C24" s="10"/>
      <c r="D24" s="10"/>
      <c r="E24" s="8">
        <f t="array" ref="E24">SUM(IF("331"&amp;B24=KHN&amp;KH,TH))</f>
        <v>0</v>
      </c>
      <c r="F24" s="8">
        <f t="array" ref="F24">SUM(IF("331"&amp;B24=KHC&amp;KH,TH))</f>
        <v>0</v>
      </c>
      <c r="G24" s="114">
        <f t="shared" si="4"/>
        <v>0</v>
      </c>
      <c r="H24" s="114">
        <f t="shared" si="5"/>
        <v>0</v>
      </c>
      <c r="I24" s="21">
        <v>3500000000</v>
      </c>
      <c r="J24" s="21">
        <f t="shared" si="8"/>
        <v>3500000000</v>
      </c>
    </row>
    <row r="25" spans="1:10" s="14" customFormat="1" ht="16.5" customHeight="1">
      <c r="A25" s="6">
        <f t="shared" si="0"/>
        <v>22</v>
      </c>
      <c r="B25" s="9" t="s">
        <v>87</v>
      </c>
      <c r="C25" s="10"/>
      <c r="D25" s="10"/>
      <c r="E25" s="8">
        <f t="array" ref="E25">SUM(IF("331"&amp;B25=KHN&amp;KH,TH))</f>
        <v>0</v>
      </c>
      <c r="F25" s="8">
        <f t="array" ref="F25">SUM(IF("331"&amp;B25=KHC&amp;KH,TH))</f>
        <v>0</v>
      </c>
      <c r="G25" s="114">
        <f t="shared" si="4"/>
        <v>0</v>
      </c>
      <c r="H25" s="114">
        <f t="shared" si="5"/>
        <v>0</v>
      </c>
      <c r="I25" s="21">
        <v>1858997690</v>
      </c>
      <c r="J25" s="21">
        <f t="shared" si="8"/>
        <v>1858997690</v>
      </c>
    </row>
    <row r="26" spans="1:10" s="14" customFormat="1" ht="16.5" customHeight="1">
      <c r="A26" s="6">
        <f t="shared" si="0"/>
        <v>23</v>
      </c>
      <c r="B26" s="9" t="s">
        <v>88</v>
      </c>
      <c r="C26" s="10"/>
      <c r="D26" s="10"/>
      <c r="E26" s="8">
        <f t="array" ref="E26">SUM(IF("331"&amp;B26=KHN&amp;KH,TH))</f>
        <v>0</v>
      </c>
      <c r="F26" s="8">
        <f t="array" ref="F26">SUM(IF("331"&amp;B26=KHC&amp;KH,TH))</f>
        <v>0</v>
      </c>
      <c r="G26" s="114">
        <f t="shared" si="4"/>
        <v>0</v>
      </c>
      <c r="H26" s="114">
        <f t="shared" si="5"/>
        <v>0</v>
      </c>
      <c r="I26" s="21">
        <v>650650000</v>
      </c>
      <c r="J26" s="21">
        <f t="shared" si="8"/>
        <v>650650000</v>
      </c>
    </row>
    <row r="27" spans="1:10" s="14" customFormat="1" ht="16.5" customHeight="1">
      <c r="A27" s="6">
        <f t="shared" si="0"/>
        <v>24</v>
      </c>
      <c r="B27" s="9" t="s">
        <v>89</v>
      </c>
      <c r="C27" s="10"/>
      <c r="D27" s="10"/>
      <c r="E27" s="8">
        <f t="array" ref="E27">SUM(IF("331"&amp;B27=KHN&amp;KH,TH))</f>
        <v>0</v>
      </c>
      <c r="F27" s="8">
        <f t="array" ref="F27">SUM(IF("331"&amp;B27=KHC&amp;KH,TH))</f>
        <v>0</v>
      </c>
      <c r="G27" s="114">
        <f t="shared" si="4"/>
        <v>0</v>
      </c>
      <c r="H27" s="114">
        <f t="shared" si="5"/>
        <v>0</v>
      </c>
      <c r="I27" s="21">
        <v>394100000</v>
      </c>
      <c r="J27" s="21">
        <f t="shared" si="8"/>
        <v>394100000</v>
      </c>
    </row>
    <row r="28" spans="1:10" s="14" customFormat="1" ht="16.5" customHeight="1">
      <c r="A28" s="6">
        <f t="shared" si="0"/>
        <v>25</v>
      </c>
      <c r="B28" s="9" t="s">
        <v>185</v>
      </c>
      <c r="C28" s="10"/>
      <c r="D28" s="10"/>
      <c r="E28" s="8">
        <f t="array" ref="E28">SUM(IF("331"&amp;B28=KHN&amp;KH,TH))</f>
        <v>0</v>
      </c>
      <c r="F28" s="8">
        <f t="array" ref="F28">SUM(IF("331"&amp;B28=KHC&amp;KH,TH))</f>
        <v>0</v>
      </c>
      <c r="G28" s="114">
        <f t="shared" si="4"/>
        <v>0</v>
      </c>
      <c r="H28" s="114">
        <f t="shared" si="5"/>
        <v>0</v>
      </c>
      <c r="I28" s="21"/>
      <c r="J28" s="21"/>
    </row>
    <row r="29" spans="1:10" s="14" customFormat="1" ht="16.5" customHeight="1">
      <c r="A29" s="6">
        <f t="shared" si="0"/>
        <v>26</v>
      </c>
      <c r="B29" s="9" t="s">
        <v>189</v>
      </c>
      <c r="C29" s="10"/>
      <c r="D29" s="10"/>
      <c r="E29" s="8">
        <f t="array" ref="E29">SUM(IF("331"&amp;B29=KHN&amp;KH,TH))</f>
        <v>0</v>
      </c>
      <c r="F29" s="8">
        <f t="array" ref="F29">SUM(IF("331"&amp;B29=KHC&amp;KH,TH))</f>
        <v>0</v>
      </c>
      <c r="G29" s="114">
        <f t="shared" si="4"/>
        <v>0</v>
      </c>
      <c r="H29" s="114">
        <f t="shared" si="5"/>
        <v>0</v>
      </c>
      <c r="I29" s="21"/>
      <c r="J29" s="21"/>
    </row>
    <row r="30" spans="1:10" s="14" customFormat="1" ht="16.5" customHeight="1">
      <c r="A30" s="6">
        <f t="shared" si="0"/>
        <v>27</v>
      </c>
      <c r="B30" s="9" t="s">
        <v>191</v>
      </c>
      <c r="C30" s="10"/>
      <c r="D30" s="10"/>
      <c r="E30" s="8">
        <f t="array" ref="E30">SUM(IF("331"&amp;B30=KHN&amp;KH,TH))</f>
        <v>0</v>
      </c>
      <c r="F30" s="8">
        <f t="array" ref="F30">SUM(IF("331"&amp;B30=KHC&amp;KH,TH))</f>
        <v>0</v>
      </c>
      <c r="G30" s="114">
        <f t="shared" si="4"/>
        <v>0</v>
      </c>
      <c r="H30" s="114">
        <f t="shared" si="5"/>
        <v>0</v>
      </c>
      <c r="I30" s="21"/>
      <c r="J30" s="21"/>
    </row>
    <row r="31" spans="1:10" s="14" customFormat="1" ht="16.5" customHeight="1">
      <c r="A31" s="6">
        <f t="shared" si="0"/>
        <v>28</v>
      </c>
      <c r="B31" s="9" t="s">
        <v>199</v>
      </c>
      <c r="C31" s="10"/>
      <c r="D31" s="10"/>
      <c r="E31" s="8">
        <f t="array" ref="E31">SUM(IF("331"&amp;B31=KHN&amp;KH,TH))</f>
        <v>0</v>
      </c>
      <c r="F31" s="8">
        <f t="array" ref="F31">SUM(IF("331"&amp;B31=KHC&amp;KH,TH))</f>
        <v>0</v>
      </c>
      <c r="G31" s="114">
        <f t="shared" ref="G31" si="11">ROUND(MAX(C31+E31-D31-F31,0),2)</f>
        <v>0</v>
      </c>
      <c r="H31" s="114">
        <f t="shared" ref="H31" si="12">ROUND(MAX(D31+F31-C31-E31,0),2)</f>
        <v>0</v>
      </c>
      <c r="I31" s="21"/>
      <c r="J31" s="21"/>
    </row>
    <row r="32" spans="1:10" s="14" customFormat="1" ht="16.5" customHeight="1">
      <c r="A32" s="6">
        <f t="shared" si="0"/>
        <v>29</v>
      </c>
      <c r="B32" s="9" t="s">
        <v>225</v>
      </c>
      <c r="C32" s="10"/>
      <c r="D32" s="10"/>
      <c r="E32" s="8">
        <f t="array" ref="E32">SUM(IF("331"&amp;B32=KHN&amp;KH,TH))</f>
        <v>0</v>
      </c>
      <c r="F32" s="8">
        <f t="array" ref="F32">SUM(IF("331"&amp;B32=KHC&amp;KH,TH))</f>
        <v>0</v>
      </c>
      <c r="G32" s="114">
        <f t="shared" ref="G32" si="13">ROUND(MAX(C32+E32-D32-F32,0),2)</f>
        <v>0</v>
      </c>
      <c r="H32" s="114">
        <f t="shared" ref="H32" si="14">ROUND(MAX(D32+F32-C32-E32,0),2)</f>
        <v>0</v>
      </c>
      <c r="I32" s="21"/>
      <c r="J32" s="21"/>
    </row>
    <row r="33" spans="1:10" s="14" customFormat="1" ht="16.5" customHeight="1">
      <c r="A33" s="6">
        <f t="shared" si="0"/>
        <v>30</v>
      </c>
      <c r="B33" s="9" t="s">
        <v>226</v>
      </c>
      <c r="C33" s="10"/>
      <c r="D33" s="10"/>
      <c r="E33" s="8">
        <f t="array" ref="E33">SUM(IF("331"&amp;B33=KHN&amp;KH,TH))</f>
        <v>0</v>
      </c>
      <c r="F33" s="8">
        <f t="array" ref="F33">SUM(IF("331"&amp;B33=KHC&amp;KH,TH))</f>
        <v>0</v>
      </c>
      <c r="G33" s="114">
        <f t="shared" ref="G33" si="15">ROUND(MAX(C33+E33-D33-F33,0),2)</f>
        <v>0</v>
      </c>
      <c r="H33" s="114">
        <f t="shared" ref="H33" si="16">ROUND(MAX(D33+F33-C33-E33,0),2)</f>
        <v>0</v>
      </c>
      <c r="I33" s="21"/>
      <c r="J33" s="21"/>
    </row>
    <row r="34" spans="1:10" s="15" customFormat="1" ht="16.5" customHeight="1">
      <c r="A34" s="6">
        <f t="shared" si="0"/>
        <v>31</v>
      </c>
      <c r="B34" s="91" t="s">
        <v>227</v>
      </c>
      <c r="C34" s="10"/>
      <c r="D34" s="10"/>
      <c r="E34" s="8">
        <f t="array" ref="E34">SUM(IF("331"&amp;B34=KHN&amp;KH,TH))</f>
        <v>0</v>
      </c>
      <c r="F34" s="8">
        <f t="array" ref="F34">SUM(IF("331"&amp;B34=KHC&amp;KH,TH))</f>
        <v>0</v>
      </c>
      <c r="G34" s="114">
        <f t="shared" ref="G34" si="17">ROUND(MAX(C34+E34-D34-F34,0),2)</f>
        <v>0</v>
      </c>
      <c r="H34" s="114">
        <f t="shared" ref="H34" si="18">ROUND(MAX(D34+F34-C34-E34,0),2)</f>
        <v>0</v>
      </c>
      <c r="I34" s="23"/>
      <c r="J34" s="23"/>
    </row>
    <row r="35" spans="1:10" s="19" customFormat="1" ht="14.25" customHeight="1">
      <c r="A35" s="16"/>
      <c r="B35" s="17" t="s">
        <v>62</v>
      </c>
      <c r="C35" s="18">
        <f t="shared" ref="C35:H35" si="19">SUM(C4:C34)</f>
        <v>850000000</v>
      </c>
      <c r="D35" s="18">
        <f t="shared" si="19"/>
        <v>0</v>
      </c>
      <c r="E35" s="18">
        <f t="shared" si="19"/>
        <v>7827334604</v>
      </c>
      <c r="F35" s="18">
        <f t="shared" si="19"/>
        <v>2164724604</v>
      </c>
      <c r="G35" s="18">
        <f t="shared" si="19"/>
        <v>6512610000</v>
      </c>
      <c r="H35" s="18">
        <f t="shared" si="19"/>
        <v>0</v>
      </c>
      <c r="I35" s="24"/>
      <c r="J35" s="24"/>
    </row>
    <row r="37" spans="1:10">
      <c r="E37" s="20">
        <f>CDPS!E20</f>
        <v>7827334604</v>
      </c>
      <c r="F37" s="20">
        <f>CDPS!F20</f>
        <v>2164724604</v>
      </c>
    </row>
    <row r="39" spans="1:10">
      <c r="E39" s="112">
        <f>E35-E37</f>
        <v>0</v>
      </c>
      <c r="F39" s="112">
        <f>F35-F37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0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J62"/>
  <sheetViews>
    <sheetView topLeftCell="A4" workbookViewId="0">
      <pane ySplit="10" topLeftCell="A14" activePane="bottomLeft" state="frozen"/>
      <selection activeCell="C17" sqref="C17"/>
      <selection pane="bottomLeft" activeCell="H15" sqref="H15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16</v>
      </c>
      <c r="B1" s="25"/>
      <c r="C1" s="25"/>
      <c r="G1" s="2"/>
      <c r="H1" s="518" t="s">
        <v>105</v>
      </c>
      <c r="I1" s="518"/>
      <c r="J1" s="518"/>
    </row>
    <row r="2" spans="1:10" s="3" customFormat="1" ht="14.25" customHeight="1">
      <c r="A2" s="1" t="s">
        <v>17</v>
      </c>
      <c r="B2" s="25"/>
      <c r="C2" s="25"/>
      <c r="G2" s="26"/>
      <c r="H2" s="519" t="s">
        <v>106</v>
      </c>
      <c r="I2" s="519"/>
      <c r="J2" s="519"/>
    </row>
    <row r="3" spans="1:10" s="3" customFormat="1" ht="14.25" customHeight="1">
      <c r="A3" s="4"/>
      <c r="B3" s="25"/>
      <c r="C3" s="25"/>
      <c r="G3" s="26"/>
      <c r="H3" s="519"/>
      <c r="I3" s="519"/>
      <c r="J3" s="519"/>
    </row>
    <row r="4" spans="1:10" s="5" customFormat="1" ht="28.5" customHeight="1">
      <c r="A4" s="525" t="s">
        <v>36</v>
      </c>
      <c r="B4" s="525"/>
      <c r="C4" s="525"/>
      <c r="D4" s="525"/>
      <c r="E4" s="525"/>
      <c r="F4" s="525"/>
      <c r="G4" s="525"/>
      <c r="H4" s="525"/>
      <c r="I4" s="525"/>
      <c r="J4" s="525"/>
    </row>
    <row r="5" spans="1:10" s="27" customFormat="1" ht="14.25" customHeight="1">
      <c r="E5" s="28" t="s">
        <v>37</v>
      </c>
    </row>
    <row r="6" spans="1:10" s="27" customFormat="1" ht="14.25" customHeight="1">
      <c r="E6" s="28" t="s">
        <v>38</v>
      </c>
    </row>
    <row r="7" spans="1:10" s="27" customFormat="1" ht="14.25" customHeight="1">
      <c r="D7" s="29" t="s">
        <v>104</v>
      </c>
      <c r="E7" s="520" t="s">
        <v>72</v>
      </c>
      <c r="F7" s="520"/>
      <c r="G7" s="520"/>
      <c r="H7" s="520"/>
    </row>
    <row r="8" spans="1:10" s="27" customFormat="1" ht="14.25" customHeight="1">
      <c r="E8" s="28" t="s">
        <v>39</v>
      </c>
    </row>
    <row r="9" spans="1:10" s="27" customFormat="1" ht="6.75" customHeight="1">
      <c r="B9" s="28"/>
      <c r="C9" s="521"/>
      <c r="D9" s="521"/>
      <c r="E9" s="521"/>
      <c r="F9" s="521"/>
      <c r="G9" s="521"/>
      <c r="H9" s="521"/>
      <c r="I9" s="521"/>
      <c r="J9" s="521"/>
    </row>
    <row r="10" spans="1:10" s="27" customFormat="1" ht="14.25" customHeight="1">
      <c r="A10" s="517" t="s">
        <v>30</v>
      </c>
      <c r="B10" s="522" t="s">
        <v>1</v>
      </c>
      <c r="C10" s="522"/>
      <c r="D10" s="517" t="s">
        <v>0</v>
      </c>
      <c r="E10" s="517" t="s">
        <v>18</v>
      </c>
      <c r="F10" s="517" t="s">
        <v>40</v>
      </c>
      <c r="G10" s="523" t="s">
        <v>31</v>
      </c>
      <c r="H10" s="524"/>
      <c r="I10" s="523" t="s">
        <v>41</v>
      </c>
      <c r="J10" s="524"/>
    </row>
    <row r="11" spans="1:10" s="27" customFormat="1" ht="24.75" customHeight="1">
      <c r="A11" s="517"/>
      <c r="B11" s="39" t="s">
        <v>19</v>
      </c>
      <c r="C11" s="39" t="s">
        <v>42</v>
      </c>
      <c r="D11" s="517"/>
      <c r="E11" s="517"/>
      <c r="F11" s="517"/>
      <c r="G11" s="39" t="s">
        <v>32</v>
      </c>
      <c r="H11" s="39" t="s">
        <v>33</v>
      </c>
      <c r="I11" s="39" t="s">
        <v>32</v>
      </c>
      <c r="J11" s="39" t="s">
        <v>33</v>
      </c>
    </row>
    <row r="12" spans="1:10" s="27" customFormat="1" ht="11.25" customHeight="1">
      <c r="A12" s="30" t="s">
        <v>2</v>
      </c>
      <c r="B12" s="31" t="s">
        <v>3</v>
      </c>
      <c r="C12" s="30" t="s">
        <v>4</v>
      </c>
      <c r="D12" s="30" t="s">
        <v>5</v>
      </c>
      <c r="E12" s="30" t="s">
        <v>6</v>
      </c>
      <c r="F12" s="30">
        <v>1</v>
      </c>
      <c r="G12" s="30">
        <v>2</v>
      </c>
      <c r="H12" s="30">
        <v>3</v>
      </c>
      <c r="I12" s="30">
        <v>4</v>
      </c>
      <c r="J12" s="30">
        <v>5</v>
      </c>
    </row>
    <row r="13" spans="1:10" s="27" customFormat="1" ht="18" customHeight="1">
      <c r="A13" s="30"/>
      <c r="B13" s="30"/>
      <c r="C13" s="30"/>
      <c r="D13" s="32" t="s">
        <v>7</v>
      </c>
      <c r="E13" s="30"/>
      <c r="F13" s="33"/>
      <c r="G13" s="33"/>
      <c r="H13" s="33"/>
      <c r="I13" s="97">
        <f>VLOOKUP($E$7,'331'!$B$4:$H$34,2,0)</f>
        <v>0</v>
      </c>
      <c r="J13" s="97">
        <f>VLOOKUP($E$7,'331'!$B$4:$H$34,3,0)</f>
        <v>0</v>
      </c>
    </row>
    <row r="14" spans="1:10" s="27" customFormat="1" ht="18" customHeight="1">
      <c r="A14" s="11">
        <f t="shared" ref="A14:A20" ca="1" si="0">IF(C14&lt;&gt;"",C14,"")</f>
        <v>41871</v>
      </c>
      <c r="B14" s="11" t="str">
        <f ca="1">IF(ROWS($1:1)&gt;COUNT(Dong),"",OFFSET(TH!E$1,SMALL(Dong,ROWS($1:1)),))</f>
        <v>GBN</v>
      </c>
      <c r="C14" s="11">
        <f ca="1">IF(ROWS($1:1)&gt;COUNT(Dong),"",OFFSET(TH!F$1,SMALL(Dong,ROWS($1:1)),))</f>
        <v>41871</v>
      </c>
      <c r="D14" s="95" t="str">
        <f ca="1">IF(ROWS($1:1)&gt;COUNT(Dong),"",OFFSET(TH!G$1,SMALL(Dong,ROWS($1:1)),))</f>
        <v>Tạm ứng tiền dự án</v>
      </c>
      <c r="E14" s="96" t="str">
        <f ca="1">IF(ROWS($1:1)&gt;COUNT(Dong),"",IF(OFFSET(TH!K$1,SMALL(Dong,ROWS($1:1)),)="331",OFFSET(TH!L$1,SMALL(Dong,ROWS($1:1)),),OFFSET(TH!K$1,SMALL(Dong,ROWS($1:1)),)))</f>
        <v>1121</v>
      </c>
      <c r="F14" s="96"/>
      <c r="G14" s="119">
        <f ca="1">IF(ROWS($1:1)&gt;COUNT(Dong),"",IF(OFFSET(TH!K$1,SMALL(Dong,ROWS($1:1)),)="331",OFFSET(TH!J$1,SMALL(Dong,ROWS($1:1)),),0))</f>
        <v>50000000</v>
      </c>
      <c r="H14" s="119">
        <f ca="1">IF(ROWS($1:1)&gt;COUNT(Dong),"",IF(OFFSET(TH!L$1,SMALL(Dong,ROWS($1:1)),)="331",OFFSET(TH!J$1,SMALL(Dong,ROWS($1:1)),),0))</f>
        <v>0</v>
      </c>
      <c r="I14" s="34">
        <f t="shared" ref="I14:I20" ca="1" si="1">IF(D14&lt;&gt;"",MAX(I13+G14-H14-J13,0),0)</f>
        <v>50000000</v>
      </c>
      <c r="J14" s="34">
        <f t="shared" ref="J14:J20" ca="1" si="2">IF(D14&lt;&gt;"",MAX(J13+H14-I13-G14,0),0)</f>
        <v>0</v>
      </c>
    </row>
    <row r="15" spans="1:10" s="27" customFormat="1" ht="18" customHeight="1">
      <c r="A15" s="11" t="str">
        <f t="shared" ca="1" si="0"/>
        <v/>
      </c>
      <c r="B15" s="11" t="str">
        <f ca="1">IF(ROWS($1:2)&gt;COUNT(Dong),"",OFFSET(TH!E$1,SMALL(Dong,ROWS($1:2)),))</f>
        <v/>
      </c>
      <c r="C15" s="11" t="str">
        <f ca="1">IF(ROWS($1:2)&gt;COUNT(Dong),"",OFFSET(TH!F$1,SMALL(Dong,ROWS($1:2)),))</f>
        <v/>
      </c>
      <c r="D15" s="95" t="str">
        <f ca="1">IF(ROWS($1:2)&gt;COUNT(Dong),"",OFFSET(TH!G$1,SMALL(Dong,ROWS($1:2)),))</f>
        <v/>
      </c>
      <c r="E15" s="96" t="str">
        <f ca="1">IF(ROWS($1:2)&gt;COUNT(Dong),"",IF(OFFSET(TH!K$1,SMALL(Dong,ROWS($1:2)),)="331",OFFSET(TH!L$1,SMALL(Dong,ROWS($1:2)),),OFFSET(TH!K$1,SMALL(Dong,ROWS($1:2)),)))</f>
        <v/>
      </c>
      <c r="F15" s="96"/>
      <c r="G15" s="119" t="str">
        <f ca="1">IF(ROWS($1:2)&gt;COUNT(Dong),"",IF(OFFSET(TH!K$1,SMALL(Dong,ROWS($1:2)),)="331",OFFSET(TH!J$1,SMALL(Dong,ROWS($1:2)),),0))</f>
        <v/>
      </c>
      <c r="H15" s="119" t="str">
        <f ca="1">IF(ROWS($1:2)&gt;COUNT(Dong),"",IF(OFFSET(TH!L$1,SMALL(Dong,ROWS($1:2)),)="331",OFFSET(TH!J$1,SMALL(Dong,ROWS($1:2)),),0))</f>
        <v/>
      </c>
      <c r="I15" s="34">
        <f t="shared" ca="1" si="1"/>
        <v>0</v>
      </c>
      <c r="J15" s="34">
        <f t="shared" ca="1" si="2"/>
        <v>0</v>
      </c>
    </row>
    <row r="16" spans="1:10" s="27" customFormat="1" ht="18" customHeight="1">
      <c r="A16" s="11" t="str">
        <f t="shared" ca="1" si="0"/>
        <v/>
      </c>
      <c r="B16" s="11" t="str">
        <f ca="1">IF(ROWS($1:3)&gt;COUNT(Dong),"",OFFSET(TH!E$1,SMALL(Dong,ROWS($1:3)),))</f>
        <v/>
      </c>
      <c r="C16" s="11" t="str">
        <f ca="1">IF(ROWS($1:3)&gt;COUNT(Dong),"",OFFSET(TH!F$1,SMALL(Dong,ROWS($1:3)),))</f>
        <v/>
      </c>
      <c r="D16" s="95" t="str">
        <f ca="1">IF(ROWS($1:3)&gt;COUNT(Dong),"",OFFSET(TH!G$1,SMALL(Dong,ROWS($1:3)),))</f>
        <v/>
      </c>
      <c r="E16" s="96" t="str">
        <f ca="1">IF(ROWS($1:3)&gt;COUNT(Dong),"",IF(OFFSET(TH!K$1,SMALL(Dong,ROWS($1:3)),)="331",OFFSET(TH!L$1,SMALL(Dong,ROWS($1:3)),),OFFSET(TH!K$1,SMALL(Dong,ROWS($1:3)),)))</f>
        <v/>
      </c>
      <c r="F16" s="96"/>
      <c r="G16" s="119" t="str">
        <f ca="1">IF(ROWS($1:3)&gt;COUNT(Dong),"",IF(OFFSET(TH!K$1,SMALL(Dong,ROWS($1:3)),)="331",OFFSET(TH!J$1,SMALL(Dong,ROWS($1:3)),),0))</f>
        <v/>
      </c>
      <c r="H16" s="119" t="str">
        <f ca="1">IF(ROWS($1:3)&gt;COUNT(Dong),"",IF(OFFSET(TH!L$1,SMALL(Dong,ROWS($1:3)),)="331",OFFSET(TH!J$1,SMALL(Dong,ROWS($1:3)),),0))</f>
        <v/>
      </c>
      <c r="I16" s="34">
        <f t="shared" ca="1" si="1"/>
        <v>0</v>
      </c>
      <c r="J16" s="34">
        <f t="shared" ca="1" si="2"/>
        <v>0</v>
      </c>
    </row>
    <row r="17" spans="1:10" s="27" customFormat="1" ht="18" customHeight="1">
      <c r="A17" s="11" t="str">
        <f t="shared" ca="1" si="0"/>
        <v/>
      </c>
      <c r="B17" s="11" t="str">
        <f ca="1">IF(ROWS($1:4)&gt;COUNT(Dong),"",OFFSET(TH!E$1,SMALL(Dong,ROWS($1:4)),))</f>
        <v/>
      </c>
      <c r="C17" s="11" t="str">
        <f ca="1">IF(ROWS($1:4)&gt;COUNT(Dong),"",OFFSET(TH!F$1,SMALL(Dong,ROWS($1:4)),))</f>
        <v/>
      </c>
      <c r="D17" s="95" t="str">
        <f ca="1">IF(ROWS($1:4)&gt;COUNT(Dong),"",OFFSET(TH!G$1,SMALL(Dong,ROWS($1:4)),))</f>
        <v/>
      </c>
      <c r="E17" s="96" t="str">
        <f ca="1">IF(ROWS($1:4)&gt;COUNT(Dong),"",IF(OFFSET(TH!K$1,SMALL(Dong,ROWS($1:4)),)="331",OFFSET(TH!L$1,SMALL(Dong,ROWS($1:4)),),OFFSET(TH!K$1,SMALL(Dong,ROWS($1:4)),)))</f>
        <v/>
      </c>
      <c r="F17" s="96"/>
      <c r="G17" s="119" t="str">
        <f ca="1">IF(ROWS($1:4)&gt;COUNT(Dong),"",IF(OFFSET(TH!K$1,SMALL(Dong,ROWS($1:4)),)="331",OFFSET(TH!J$1,SMALL(Dong,ROWS($1:4)),),0))</f>
        <v/>
      </c>
      <c r="H17" s="119" t="str">
        <f ca="1">IF(ROWS($1:4)&gt;COUNT(Dong),"",IF(OFFSET(TH!L$1,SMALL(Dong,ROWS($1:4)),)="331",OFFSET(TH!J$1,SMALL(Dong,ROWS($1:4)),),0))</f>
        <v/>
      </c>
      <c r="I17" s="34">
        <f t="shared" ca="1" si="1"/>
        <v>0</v>
      </c>
      <c r="J17" s="34">
        <f t="shared" ca="1" si="2"/>
        <v>0</v>
      </c>
    </row>
    <row r="18" spans="1:10" s="27" customFormat="1" ht="18" customHeight="1">
      <c r="A18" s="11" t="str">
        <f t="shared" ca="1" si="0"/>
        <v/>
      </c>
      <c r="B18" s="11" t="str">
        <f ca="1">IF(ROWS($1:5)&gt;COUNT(Dong),"",OFFSET(TH!E$1,SMALL(Dong,ROWS($1:5)),))</f>
        <v/>
      </c>
      <c r="C18" s="11" t="str">
        <f ca="1">IF(ROWS($1:5)&gt;COUNT(Dong),"",OFFSET(TH!F$1,SMALL(Dong,ROWS($1:5)),))</f>
        <v/>
      </c>
      <c r="D18" s="95" t="str">
        <f ca="1">IF(ROWS($1:5)&gt;COUNT(Dong),"",OFFSET(TH!G$1,SMALL(Dong,ROWS($1:5)),))</f>
        <v/>
      </c>
      <c r="E18" s="96" t="str">
        <f ca="1">IF(ROWS($1:5)&gt;COUNT(Dong),"",IF(OFFSET(TH!K$1,SMALL(Dong,ROWS($1:5)),)="331",OFFSET(TH!L$1,SMALL(Dong,ROWS($1:5)),),OFFSET(TH!K$1,SMALL(Dong,ROWS($1:5)),)))</f>
        <v/>
      </c>
      <c r="F18" s="96"/>
      <c r="G18" s="119" t="str">
        <f ca="1">IF(ROWS($1:5)&gt;COUNT(Dong),"",IF(OFFSET(TH!K$1,SMALL(Dong,ROWS($1:5)),)="331",OFFSET(TH!J$1,SMALL(Dong,ROWS($1:5)),),0))</f>
        <v/>
      </c>
      <c r="H18" s="119" t="str">
        <f ca="1">IF(ROWS($1:5)&gt;COUNT(Dong),"",IF(OFFSET(TH!L$1,SMALL(Dong,ROWS($1:5)),)="331",OFFSET(TH!J$1,SMALL(Dong,ROWS($1:5)),),0))</f>
        <v/>
      </c>
      <c r="I18" s="34">
        <f t="shared" ca="1" si="1"/>
        <v>0</v>
      </c>
      <c r="J18" s="34">
        <f t="shared" ca="1" si="2"/>
        <v>0</v>
      </c>
    </row>
    <row r="19" spans="1:10" s="27" customFormat="1" ht="18" customHeight="1">
      <c r="A19" s="11" t="str">
        <f t="shared" ca="1" si="0"/>
        <v/>
      </c>
      <c r="B19" s="11" t="str">
        <f ca="1">IF(ROWS($1:6)&gt;COUNT(Dong),"",OFFSET(TH!E$1,SMALL(Dong,ROWS($1:6)),))</f>
        <v/>
      </c>
      <c r="C19" s="11" t="str">
        <f ca="1">IF(ROWS($1:6)&gt;COUNT(Dong),"",OFFSET(TH!F$1,SMALL(Dong,ROWS($1:6)),))</f>
        <v/>
      </c>
      <c r="D19" s="95" t="str">
        <f ca="1">IF(ROWS($1:6)&gt;COUNT(Dong),"",OFFSET(TH!G$1,SMALL(Dong,ROWS($1:6)),))</f>
        <v/>
      </c>
      <c r="E19" s="96" t="str">
        <f ca="1">IF(ROWS($1:6)&gt;COUNT(Dong),"",IF(OFFSET(TH!K$1,SMALL(Dong,ROWS($1:6)),)="331",OFFSET(TH!L$1,SMALL(Dong,ROWS($1:6)),),OFFSET(TH!K$1,SMALL(Dong,ROWS($1:6)),)))</f>
        <v/>
      </c>
      <c r="F19" s="96"/>
      <c r="G19" s="119" t="str">
        <f ca="1">IF(ROWS($1:6)&gt;COUNT(Dong),"",IF(OFFSET(TH!K$1,SMALL(Dong,ROWS($1:6)),)="331",OFFSET(TH!J$1,SMALL(Dong,ROWS($1:6)),),0))</f>
        <v/>
      </c>
      <c r="H19" s="119" t="str">
        <f ca="1">IF(ROWS($1:6)&gt;COUNT(Dong),"",IF(OFFSET(TH!L$1,SMALL(Dong,ROWS($1:6)),)="331",OFFSET(TH!J$1,SMALL(Dong,ROWS($1:6)),),0))</f>
        <v/>
      </c>
      <c r="I19" s="34">
        <f t="shared" ca="1" si="1"/>
        <v>0</v>
      </c>
      <c r="J19" s="34">
        <f t="shared" ca="1" si="2"/>
        <v>0</v>
      </c>
    </row>
    <row r="20" spans="1:10" s="27" customFormat="1" ht="18" customHeight="1">
      <c r="A20" s="11" t="str">
        <f t="shared" ca="1" si="0"/>
        <v/>
      </c>
      <c r="B20" s="11" t="str">
        <f ca="1">IF(ROWS($1:7)&gt;COUNT(Dong),"",OFFSET(TH!E$1,SMALL(Dong,ROWS($1:7)),))</f>
        <v/>
      </c>
      <c r="C20" s="11" t="str">
        <f ca="1">IF(ROWS($1:7)&gt;COUNT(Dong),"",OFFSET(TH!F$1,SMALL(Dong,ROWS($1:7)),))</f>
        <v/>
      </c>
      <c r="D20" s="95" t="str">
        <f ca="1">IF(ROWS($1:7)&gt;COUNT(Dong),"",OFFSET(TH!G$1,SMALL(Dong,ROWS($1:7)),))</f>
        <v/>
      </c>
      <c r="E20" s="96" t="str">
        <f ca="1">IF(ROWS($1:7)&gt;COUNT(Dong),"",IF(OFFSET(TH!K$1,SMALL(Dong,ROWS($1:7)),)="331",OFFSET(TH!L$1,SMALL(Dong,ROWS($1:7)),),OFFSET(TH!K$1,SMALL(Dong,ROWS($1:7)),)))</f>
        <v/>
      </c>
      <c r="F20" s="96"/>
      <c r="G20" s="119" t="str">
        <f ca="1">IF(ROWS($1:7)&gt;COUNT(Dong),"",IF(OFFSET(TH!K$1,SMALL(Dong,ROWS($1:7)),)="331",OFFSET(TH!J$1,SMALL(Dong,ROWS($1:7)),),0))</f>
        <v/>
      </c>
      <c r="H20" s="119" t="str">
        <f ca="1">IF(ROWS($1:7)&gt;COUNT(Dong),"",IF(OFFSET(TH!L$1,SMALL(Dong,ROWS($1:7)),)="331",OFFSET(TH!J$1,SMALL(Dong,ROWS($1:7)),),0))</f>
        <v/>
      </c>
      <c r="I20" s="34">
        <f t="shared" ca="1" si="1"/>
        <v>0</v>
      </c>
      <c r="J20" s="34">
        <f t="shared" ca="1" si="2"/>
        <v>0</v>
      </c>
    </row>
    <row r="21" spans="1:10" s="27" customFormat="1" ht="18" customHeight="1">
      <c r="A21" s="11" t="str">
        <f t="shared" ref="A21:A32" ca="1" si="3">IF(C21&lt;&gt;"",C21,"")</f>
        <v/>
      </c>
      <c r="B21" s="11" t="str">
        <f ca="1">IF(ROWS($1:8)&gt;COUNT(Dong),"",OFFSET(TH!E$1,SMALL(Dong,ROWS($1:8)),))</f>
        <v/>
      </c>
      <c r="C21" s="11" t="str">
        <f ca="1">IF(ROWS($1:8)&gt;COUNT(Dong),"",OFFSET(TH!F$1,SMALL(Dong,ROWS($1:8)),))</f>
        <v/>
      </c>
      <c r="D21" s="95" t="str">
        <f ca="1">IF(ROWS($1:8)&gt;COUNT(Dong),"",OFFSET(TH!G$1,SMALL(Dong,ROWS($1:8)),))</f>
        <v/>
      </c>
      <c r="E21" s="96" t="str">
        <f ca="1">IF(ROWS($1:8)&gt;COUNT(Dong),"",IF(OFFSET(TH!K$1,SMALL(Dong,ROWS($1:8)),)="331",OFFSET(TH!L$1,SMALL(Dong,ROWS($1:8)),),OFFSET(TH!K$1,SMALL(Dong,ROWS($1:8)),)))</f>
        <v/>
      </c>
      <c r="F21" s="96"/>
      <c r="G21" s="87" t="str">
        <f ca="1">IF(ROWS($1:8)&gt;COUNT(Dong),"",IF(OFFSET(TH!K$1,SMALL(Dong,ROWS($1:8)),)="331",OFFSET(TH!J$1,SMALL(Dong,ROWS($1:8)),),0))</f>
        <v/>
      </c>
      <c r="H21" s="87" t="str">
        <f ca="1">IF(ROWS($1:8)&gt;COUNT(Dong),"",IF(OFFSET(TH!L$1,SMALL(Dong,ROWS($1:8)),)="331",OFFSET(TH!J$1,SMALL(Dong,ROWS($1:8)),),0))</f>
        <v/>
      </c>
      <c r="I21" s="34">
        <f t="shared" ref="I21:I32" ca="1" si="4">IF(D21&lt;&gt;"",MAX(I20+G21-H21-J20,0),0)</f>
        <v>0</v>
      </c>
      <c r="J21" s="34">
        <f t="shared" ref="J21:J32" ca="1" si="5">IF(D21&lt;&gt;"",MAX(J20+H21-I20-G21,0),0)</f>
        <v>0</v>
      </c>
    </row>
    <row r="22" spans="1:10" s="27" customFormat="1" ht="18" customHeight="1">
      <c r="A22" s="11" t="str">
        <f t="shared" ca="1" si="3"/>
        <v/>
      </c>
      <c r="B22" s="11" t="str">
        <f ca="1">IF(ROWS($1:9)&gt;COUNT(Dong),"",OFFSET(TH!E$1,SMALL(Dong,ROWS($1:9)),))</f>
        <v/>
      </c>
      <c r="C22" s="11" t="str">
        <f ca="1">IF(ROWS($1:9)&gt;COUNT(Dong),"",OFFSET(TH!F$1,SMALL(Dong,ROWS($1:9)),))</f>
        <v/>
      </c>
      <c r="D22" s="95" t="str">
        <f ca="1">IF(ROWS($1:9)&gt;COUNT(Dong),"",OFFSET(TH!G$1,SMALL(Dong,ROWS($1:9)),))</f>
        <v/>
      </c>
      <c r="E22" s="96" t="str">
        <f ca="1">IF(ROWS($1:9)&gt;COUNT(Dong),"",IF(OFFSET(TH!K$1,SMALL(Dong,ROWS($1:9)),)="331",OFFSET(TH!L$1,SMALL(Dong,ROWS($1:9)),),OFFSET(TH!K$1,SMALL(Dong,ROWS($1:9)),)))</f>
        <v/>
      </c>
      <c r="F22" s="96"/>
      <c r="G22" s="87" t="str">
        <f ca="1">IF(ROWS($1:9)&gt;COUNT(Dong),"",IF(OFFSET(TH!K$1,SMALL(Dong,ROWS($1:9)),)="331",OFFSET(TH!J$1,SMALL(Dong,ROWS($1:9)),),0))</f>
        <v/>
      </c>
      <c r="H22" s="87" t="str">
        <f ca="1">IF(ROWS($1:9)&gt;COUNT(Dong),"",IF(OFFSET(TH!L$1,SMALL(Dong,ROWS($1:9)),)="331",OFFSET(TH!J$1,SMALL(Dong,ROWS($1:9)),),0))</f>
        <v/>
      </c>
      <c r="I22" s="34">
        <f t="shared" ca="1" si="4"/>
        <v>0</v>
      </c>
      <c r="J22" s="34">
        <f t="shared" ca="1" si="5"/>
        <v>0</v>
      </c>
    </row>
    <row r="23" spans="1:10" s="27" customFormat="1" ht="18" customHeight="1">
      <c r="A23" s="11" t="str">
        <f t="shared" ca="1" si="3"/>
        <v/>
      </c>
      <c r="B23" s="11" t="str">
        <f ca="1">IF(ROWS($1:10)&gt;COUNT(Dong),"",OFFSET(TH!E$1,SMALL(Dong,ROWS($1:10)),))</f>
        <v/>
      </c>
      <c r="C23" s="11" t="str">
        <f ca="1">IF(ROWS($1:10)&gt;COUNT(Dong),"",OFFSET(TH!F$1,SMALL(Dong,ROWS($1:10)),))</f>
        <v/>
      </c>
      <c r="D23" s="95" t="str">
        <f ca="1">IF(ROWS($1:10)&gt;COUNT(Dong),"",OFFSET(TH!G$1,SMALL(Dong,ROWS($1:10)),))</f>
        <v/>
      </c>
      <c r="E23" s="96" t="str">
        <f ca="1">IF(ROWS($1:10)&gt;COUNT(Dong),"",IF(OFFSET(TH!K$1,SMALL(Dong,ROWS($1:10)),)="331",OFFSET(TH!L$1,SMALL(Dong,ROWS($1:10)),),OFFSET(TH!K$1,SMALL(Dong,ROWS($1:10)),)))</f>
        <v/>
      </c>
      <c r="F23" s="96"/>
      <c r="G23" s="87" t="str">
        <f ca="1">IF(ROWS($1:10)&gt;COUNT(Dong),"",IF(OFFSET(TH!K$1,SMALL(Dong,ROWS($1:10)),)="331",OFFSET(TH!J$1,SMALL(Dong,ROWS($1:10)),),0))</f>
        <v/>
      </c>
      <c r="H23" s="87" t="str">
        <f ca="1">IF(ROWS($1:10)&gt;COUNT(Dong),"",IF(OFFSET(TH!L$1,SMALL(Dong,ROWS($1:10)),)="331",OFFSET(TH!J$1,SMALL(Dong,ROWS($1:10)),),0))</f>
        <v/>
      </c>
      <c r="I23" s="34">
        <f t="shared" ca="1" si="4"/>
        <v>0</v>
      </c>
      <c r="J23" s="34">
        <f t="shared" ca="1" si="5"/>
        <v>0</v>
      </c>
    </row>
    <row r="24" spans="1:10" s="27" customFormat="1" ht="18" customHeight="1">
      <c r="A24" s="11" t="str">
        <f t="shared" ca="1" si="3"/>
        <v/>
      </c>
      <c r="B24" s="11" t="str">
        <f ca="1">IF(ROWS($1:11)&gt;COUNT(Dong),"",OFFSET(TH!E$1,SMALL(Dong,ROWS($1:11)),))</f>
        <v/>
      </c>
      <c r="C24" s="11" t="str">
        <f ca="1">IF(ROWS($1:11)&gt;COUNT(Dong),"",OFFSET(TH!F$1,SMALL(Dong,ROWS($1:11)),))</f>
        <v/>
      </c>
      <c r="D24" s="95" t="str">
        <f ca="1">IF(ROWS($1:11)&gt;COUNT(Dong),"",OFFSET(TH!G$1,SMALL(Dong,ROWS($1:11)),))</f>
        <v/>
      </c>
      <c r="E24" s="96" t="str">
        <f ca="1">IF(ROWS($1:11)&gt;COUNT(Dong),"",IF(OFFSET(TH!K$1,SMALL(Dong,ROWS($1:11)),)="331",OFFSET(TH!L$1,SMALL(Dong,ROWS($1:11)),),OFFSET(TH!K$1,SMALL(Dong,ROWS($1:11)),)))</f>
        <v/>
      </c>
      <c r="F24" s="96"/>
      <c r="G24" s="87" t="str">
        <f ca="1">IF(ROWS($1:11)&gt;COUNT(Dong),"",IF(OFFSET(TH!K$1,SMALL(Dong,ROWS($1:11)),)="331",OFFSET(TH!J$1,SMALL(Dong,ROWS($1:11)),),0))</f>
        <v/>
      </c>
      <c r="H24" s="87" t="str">
        <f ca="1">IF(ROWS($1:11)&gt;COUNT(Dong),"",IF(OFFSET(TH!L$1,SMALL(Dong,ROWS($1:11)),)="331",OFFSET(TH!J$1,SMALL(Dong,ROWS($1:11)),),0))</f>
        <v/>
      </c>
      <c r="I24" s="34">
        <f t="shared" ca="1" si="4"/>
        <v>0</v>
      </c>
      <c r="J24" s="34">
        <f t="shared" ca="1" si="5"/>
        <v>0</v>
      </c>
    </row>
    <row r="25" spans="1:10" s="27" customFormat="1" ht="18" customHeight="1">
      <c r="A25" s="11" t="str">
        <f t="shared" ca="1" si="3"/>
        <v/>
      </c>
      <c r="B25" s="11" t="str">
        <f ca="1">IF(ROWS($1:12)&gt;COUNT(Dong),"",OFFSET(TH!E$1,SMALL(Dong,ROWS($1:12)),))</f>
        <v/>
      </c>
      <c r="C25" s="11" t="str">
        <f ca="1">IF(ROWS($1:12)&gt;COUNT(Dong),"",OFFSET(TH!F$1,SMALL(Dong,ROWS($1:12)),))</f>
        <v/>
      </c>
      <c r="D25" s="95" t="str">
        <f ca="1">IF(ROWS($1:12)&gt;COUNT(Dong),"",OFFSET(TH!G$1,SMALL(Dong,ROWS($1:12)),))</f>
        <v/>
      </c>
      <c r="E25" s="96" t="str">
        <f ca="1">IF(ROWS($1:12)&gt;COUNT(Dong),"",IF(OFFSET(TH!K$1,SMALL(Dong,ROWS($1:12)),)="331",OFFSET(TH!L$1,SMALL(Dong,ROWS($1:12)),),OFFSET(TH!K$1,SMALL(Dong,ROWS($1:12)),)))</f>
        <v/>
      </c>
      <c r="F25" s="96"/>
      <c r="G25" s="87" t="str">
        <f ca="1">IF(ROWS($1:12)&gt;COUNT(Dong),"",IF(OFFSET(TH!K$1,SMALL(Dong,ROWS($1:12)),)="331",OFFSET(TH!J$1,SMALL(Dong,ROWS($1:12)),),0))</f>
        <v/>
      </c>
      <c r="H25" s="87" t="str">
        <f ca="1">IF(ROWS($1:12)&gt;COUNT(Dong),"",IF(OFFSET(TH!L$1,SMALL(Dong,ROWS($1:12)),)="331",OFFSET(TH!J$1,SMALL(Dong,ROWS($1:12)),),0))</f>
        <v/>
      </c>
      <c r="I25" s="34">
        <f t="shared" ca="1" si="4"/>
        <v>0</v>
      </c>
      <c r="J25" s="34">
        <f t="shared" ca="1" si="5"/>
        <v>0</v>
      </c>
    </row>
    <row r="26" spans="1:10" s="27" customFormat="1" ht="18" customHeight="1">
      <c r="A26" s="11" t="str">
        <f t="shared" ca="1" si="3"/>
        <v/>
      </c>
      <c r="B26" s="11" t="str">
        <f ca="1">IF(ROWS($1:13)&gt;COUNT(Dong),"",OFFSET(TH!E$1,SMALL(Dong,ROWS($1:13)),))</f>
        <v/>
      </c>
      <c r="C26" s="11" t="str">
        <f ca="1">IF(ROWS($1:13)&gt;COUNT(Dong),"",OFFSET(TH!F$1,SMALL(Dong,ROWS($1:13)),))</f>
        <v/>
      </c>
      <c r="D26" s="95" t="str">
        <f ca="1">IF(ROWS($1:13)&gt;COUNT(Dong),"",OFFSET(TH!G$1,SMALL(Dong,ROWS($1:13)),))</f>
        <v/>
      </c>
      <c r="E26" s="96" t="str">
        <f ca="1">IF(ROWS($1:13)&gt;COUNT(Dong),"",IF(OFFSET(TH!K$1,SMALL(Dong,ROWS($1:13)),)="331",OFFSET(TH!L$1,SMALL(Dong,ROWS($1:13)),),OFFSET(TH!K$1,SMALL(Dong,ROWS($1:13)),)))</f>
        <v/>
      </c>
      <c r="F26" s="96"/>
      <c r="G26" s="87" t="str">
        <f ca="1">IF(ROWS($1:13)&gt;COUNT(Dong),"",IF(OFFSET(TH!K$1,SMALL(Dong,ROWS($1:13)),)="331",OFFSET(TH!J$1,SMALL(Dong,ROWS($1:13)),),0))</f>
        <v/>
      </c>
      <c r="H26" s="87" t="str">
        <f ca="1">IF(ROWS($1:13)&gt;COUNT(Dong),"",IF(OFFSET(TH!L$1,SMALL(Dong,ROWS($1:13)),)="331",OFFSET(TH!J$1,SMALL(Dong,ROWS($1:13)),),0))</f>
        <v/>
      </c>
      <c r="I26" s="34">
        <f t="shared" ca="1" si="4"/>
        <v>0</v>
      </c>
      <c r="J26" s="34">
        <f t="shared" ca="1" si="5"/>
        <v>0</v>
      </c>
    </row>
    <row r="27" spans="1:10" s="27" customFormat="1" ht="18" customHeight="1">
      <c r="A27" s="11" t="str">
        <f t="shared" ca="1" si="3"/>
        <v/>
      </c>
      <c r="B27" s="11" t="str">
        <f ca="1">IF(ROWS($1:14)&gt;COUNT(Dong),"",OFFSET(TH!E$1,SMALL(Dong,ROWS($1:14)),))</f>
        <v/>
      </c>
      <c r="C27" s="11" t="str">
        <f ca="1">IF(ROWS($1:14)&gt;COUNT(Dong),"",OFFSET(TH!F$1,SMALL(Dong,ROWS($1:14)),))</f>
        <v/>
      </c>
      <c r="D27" s="95" t="str">
        <f ca="1">IF(ROWS($1:14)&gt;COUNT(Dong),"",OFFSET(TH!G$1,SMALL(Dong,ROWS($1:14)),))</f>
        <v/>
      </c>
      <c r="E27" s="96" t="str">
        <f ca="1">IF(ROWS($1:14)&gt;COUNT(Dong),"",IF(OFFSET(TH!K$1,SMALL(Dong,ROWS($1:14)),)="331",OFFSET(TH!L$1,SMALL(Dong,ROWS($1:14)),),OFFSET(TH!K$1,SMALL(Dong,ROWS($1:14)),)))</f>
        <v/>
      </c>
      <c r="F27" s="96"/>
      <c r="G27" s="87" t="str">
        <f ca="1">IF(ROWS($1:14)&gt;COUNT(Dong),"",IF(OFFSET(TH!K$1,SMALL(Dong,ROWS($1:14)),)="331",OFFSET(TH!J$1,SMALL(Dong,ROWS($1:14)),),0))</f>
        <v/>
      </c>
      <c r="H27" s="87" t="str">
        <f ca="1">IF(ROWS($1:14)&gt;COUNT(Dong),"",IF(OFFSET(TH!L$1,SMALL(Dong,ROWS($1:14)),)="331",OFFSET(TH!J$1,SMALL(Dong,ROWS($1:14)),),0))</f>
        <v/>
      </c>
      <c r="I27" s="34">
        <f t="shared" ca="1" si="4"/>
        <v>0</v>
      </c>
      <c r="J27" s="34">
        <f t="shared" ca="1" si="5"/>
        <v>0</v>
      </c>
    </row>
    <row r="28" spans="1:10" s="27" customFormat="1" ht="18" customHeight="1">
      <c r="A28" s="11" t="str">
        <f t="shared" ca="1" si="3"/>
        <v/>
      </c>
      <c r="B28" s="11" t="str">
        <f ca="1">IF(ROWS($1:15)&gt;COUNT(Dong),"",OFFSET(TH!E$1,SMALL(Dong,ROWS($1:15)),))</f>
        <v/>
      </c>
      <c r="C28" s="11" t="str">
        <f ca="1">IF(ROWS($1:15)&gt;COUNT(Dong),"",OFFSET(TH!F$1,SMALL(Dong,ROWS($1:15)),))</f>
        <v/>
      </c>
      <c r="D28" s="95" t="str">
        <f ca="1">IF(ROWS($1:15)&gt;COUNT(Dong),"",OFFSET(TH!G$1,SMALL(Dong,ROWS($1:15)),))</f>
        <v/>
      </c>
      <c r="E28" s="96" t="str">
        <f ca="1">IF(ROWS($1:15)&gt;COUNT(Dong),"",IF(OFFSET(TH!K$1,SMALL(Dong,ROWS($1:15)),)="331",OFFSET(TH!L$1,SMALL(Dong,ROWS($1:15)),),OFFSET(TH!K$1,SMALL(Dong,ROWS($1:15)),)))</f>
        <v/>
      </c>
      <c r="F28" s="96"/>
      <c r="G28" s="87" t="str">
        <f ca="1">IF(ROWS($1:15)&gt;COUNT(Dong),"",IF(OFFSET(TH!K$1,SMALL(Dong,ROWS($1:15)),)="331",OFFSET(TH!J$1,SMALL(Dong,ROWS($1:15)),),0))</f>
        <v/>
      </c>
      <c r="H28" s="87" t="str">
        <f ca="1">IF(ROWS($1:15)&gt;COUNT(Dong),"",IF(OFFSET(TH!L$1,SMALL(Dong,ROWS($1:15)),)="331",OFFSET(TH!J$1,SMALL(Dong,ROWS($1:15)),),0))</f>
        <v/>
      </c>
      <c r="I28" s="34">
        <f t="shared" ca="1" si="4"/>
        <v>0</v>
      </c>
      <c r="J28" s="34">
        <f t="shared" ca="1" si="5"/>
        <v>0</v>
      </c>
    </row>
    <row r="29" spans="1:10" s="27" customFormat="1" ht="18" customHeight="1">
      <c r="A29" s="11" t="str">
        <f t="shared" ca="1" si="3"/>
        <v/>
      </c>
      <c r="B29" s="11" t="str">
        <f ca="1">IF(ROWS($1:16)&gt;COUNT(Dong),"",OFFSET(TH!E$1,SMALL(Dong,ROWS($1:16)),))</f>
        <v/>
      </c>
      <c r="C29" s="11" t="str">
        <f ca="1">IF(ROWS($1:16)&gt;COUNT(Dong),"",OFFSET(TH!F$1,SMALL(Dong,ROWS($1:16)),))</f>
        <v/>
      </c>
      <c r="D29" s="95" t="str">
        <f ca="1">IF(ROWS($1:16)&gt;COUNT(Dong),"",OFFSET(TH!G$1,SMALL(Dong,ROWS($1:16)),))</f>
        <v/>
      </c>
      <c r="E29" s="96" t="str">
        <f ca="1">IF(ROWS($1:16)&gt;COUNT(Dong),"",IF(OFFSET(TH!K$1,SMALL(Dong,ROWS($1:16)),)="331",OFFSET(TH!L$1,SMALL(Dong,ROWS($1:16)),),OFFSET(TH!K$1,SMALL(Dong,ROWS($1:16)),)))</f>
        <v/>
      </c>
      <c r="F29" s="96"/>
      <c r="G29" s="87" t="str">
        <f ca="1">IF(ROWS($1:16)&gt;COUNT(Dong),"",IF(OFFSET(TH!K$1,SMALL(Dong,ROWS($1:16)),)="331",OFFSET(TH!J$1,SMALL(Dong,ROWS($1:16)),),0))</f>
        <v/>
      </c>
      <c r="H29" s="87" t="str">
        <f ca="1">IF(ROWS($1:16)&gt;COUNT(Dong),"",IF(OFFSET(TH!L$1,SMALL(Dong,ROWS($1:16)),)="331",OFFSET(TH!J$1,SMALL(Dong,ROWS($1:16)),),0))</f>
        <v/>
      </c>
      <c r="I29" s="34">
        <f t="shared" ca="1" si="4"/>
        <v>0</v>
      </c>
      <c r="J29" s="34">
        <f t="shared" ca="1" si="5"/>
        <v>0</v>
      </c>
    </row>
    <row r="30" spans="1:10" s="27" customFormat="1" ht="18" customHeight="1">
      <c r="A30" s="11" t="str">
        <f t="shared" ca="1" si="3"/>
        <v/>
      </c>
      <c r="B30" s="11" t="str">
        <f ca="1">IF(ROWS($1:17)&gt;COUNT(Dong),"",OFFSET(TH!E$1,SMALL(Dong,ROWS($1:17)),))</f>
        <v/>
      </c>
      <c r="C30" s="11" t="str">
        <f ca="1">IF(ROWS($1:17)&gt;COUNT(Dong),"",OFFSET(TH!F$1,SMALL(Dong,ROWS($1:17)),))</f>
        <v/>
      </c>
      <c r="D30" s="95" t="str">
        <f ca="1">IF(ROWS($1:17)&gt;COUNT(Dong),"",OFFSET(TH!G$1,SMALL(Dong,ROWS($1:17)),))</f>
        <v/>
      </c>
      <c r="E30" s="96" t="str">
        <f ca="1">IF(ROWS($1:17)&gt;COUNT(Dong),"",IF(OFFSET(TH!K$1,SMALL(Dong,ROWS($1:17)),)="331",OFFSET(TH!L$1,SMALL(Dong,ROWS($1:17)),),OFFSET(TH!K$1,SMALL(Dong,ROWS($1:17)),)))</f>
        <v/>
      </c>
      <c r="F30" s="96"/>
      <c r="G30" s="87" t="str">
        <f ca="1">IF(ROWS($1:17)&gt;COUNT(Dong),"",IF(OFFSET(TH!K$1,SMALL(Dong,ROWS($1:17)),)="331",OFFSET(TH!J$1,SMALL(Dong,ROWS($1:17)),),0))</f>
        <v/>
      </c>
      <c r="H30" s="87" t="str">
        <f ca="1">IF(ROWS($1:17)&gt;COUNT(Dong),"",IF(OFFSET(TH!L$1,SMALL(Dong,ROWS($1:17)),)="331",OFFSET(TH!J$1,SMALL(Dong,ROWS($1:17)),),0))</f>
        <v/>
      </c>
      <c r="I30" s="34">
        <f t="shared" ca="1" si="4"/>
        <v>0</v>
      </c>
      <c r="J30" s="34">
        <f t="shared" ca="1" si="5"/>
        <v>0</v>
      </c>
    </row>
    <row r="31" spans="1:10" s="27" customFormat="1" ht="18" customHeight="1">
      <c r="A31" s="11" t="str">
        <f t="shared" ca="1" si="3"/>
        <v/>
      </c>
      <c r="B31" s="11" t="str">
        <f ca="1">IF(ROWS($1:18)&gt;COUNT(Dong),"",OFFSET(TH!E$1,SMALL(Dong,ROWS($1:18)),))</f>
        <v/>
      </c>
      <c r="C31" s="11" t="str">
        <f ca="1">IF(ROWS($1:18)&gt;COUNT(Dong),"",OFFSET(TH!F$1,SMALL(Dong,ROWS($1:18)),))</f>
        <v/>
      </c>
      <c r="D31" s="95" t="str">
        <f ca="1">IF(ROWS($1:18)&gt;COUNT(Dong),"",OFFSET(TH!G$1,SMALL(Dong,ROWS($1:18)),))</f>
        <v/>
      </c>
      <c r="E31" s="96" t="str">
        <f ca="1">IF(ROWS($1:18)&gt;COUNT(Dong),"",IF(OFFSET(TH!K$1,SMALL(Dong,ROWS($1:18)),)="331",OFFSET(TH!L$1,SMALL(Dong,ROWS($1:18)),),OFFSET(TH!K$1,SMALL(Dong,ROWS($1:18)),)))</f>
        <v/>
      </c>
      <c r="F31" s="96"/>
      <c r="G31" s="87" t="str">
        <f ca="1">IF(ROWS($1:18)&gt;COUNT(Dong),"",IF(OFFSET(TH!K$1,SMALL(Dong,ROWS($1:18)),)="331",OFFSET(TH!J$1,SMALL(Dong,ROWS($1:18)),),0))</f>
        <v/>
      </c>
      <c r="H31" s="87" t="str">
        <f ca="1">IF(ROWS($1:18)&gt;COUNT(Dong),"",IF(OFFSET(TH!L$1,SMALL(Dong,ROWS($1:18)),)="331",OFFSET(TH!J$1,SMALL(Dong,ROWS($1:18)),),0))</f>
        <v/>
      </c>
      <c r="I31" s="34">
        <f t="shared" ca="1" si="4"/>
        <v>0</v>
      </c>
      <c r="J31" s="34">
        <f t="shared" ca="1" si="5"/>
        <v>0</v>
      </c>
    </row>
    <row r="32" spans="1:10" s="27" customFormat="1" ht="18" customHeight="1">
      <c r="A32" s="11" t="str">
        <f t="shared" ca="1" si="3"/>
        <v/>
      </c>
      <c r="B32" s="11" t="str">
        <f ca="1">IF(ROWS($1:19)&gt;COUNT(Dong),"",OFFSET(TH!E$1,SMALL(Dong,ROWS($1:19)),))</f>
        <v/>
      </c>
      <c r="C32" s="11" t="str">
        <f ca="1">IF(ROWS($1:19)&gt;COUNT(Dong),"",OFFSET(TH!F$1,SMALL(Dong,ROWS($1:19)),))</f>
        <v/>
      </c>
      <c r="D32" s="95" t="str">
        <f ca="1">IF(ROWS($1:19)&gt;COUNT(Dong),"",OFFSET(TH!G$1,SMALL(Dong,ROWS($1:19)),))</f>
        <v/>
      </c>
      <c r="E32" s="96" t="str">
        <f ca="1">IF(ROWS($1:19)&gt;COUNT(Dong),"",IF(OFFSET(TH!K$1,SMALL(Dong,ROWS($1:19)),)="331",OFFSET(TH!L$1,SMALL(Dong,ROWS($1:19)),),OFFSET(TH!K$1,SMALL(Dong,ROWS($1:19)),)))</f>
        <v/>
      </c>
      <c r="F32" s="96"/>
      <c r="G32" s="87" t="str">
        <f ca="1">IF(ROWS($1:19)&gt;COUNT(Dong),"",IF(OFFSET(TH!K$1,SMALL(Dong,ROWS($1:19)),)="331",OFFSET(TH!J$1,SMALL(Dong,ROWS($1:19)),),0))</f>
        <v/>
      </c>
      <c r="H32" s="87" t="str">
        <f ca="1">IF(ROWS($1:19)&gt;COUNT(Dong),"",IF(OFFSET(TH!L$1,SMALL(Dong,ROWS($1:19)),)="331",OFFSET(TH!J$1,SMALL(Dong,ROWS($1:19)),),0))</f>
        <v/>
      </c>
      <c r="I32" s="34">
        <f t="shared" ca="1" si="4"/>
        <v>0</v>
      </c>
      <c r="J32" s="34">
        <f t="shared" ca="1" si="5"/>
        <v>0</v>
      </c>
    </row>
    <row r="33" spans="1:10" s="27" customFormat="1" ht="18" customHeight="1">
      <c r="A33" s="11" t="str">
        <f t="shared" ref="A33:A39" ca="1" si="6">IF(C33&lt;&gt;"",C33,"")</f>
        <v/>
      </c>
      <c r="B33" s="11" t="str">
        <f ca="1">IF(ROWS($1:20)&gt;COUNT(Dong),"",OFFSET(TH!E$1,SMALL(Dong,ROWS($1:20)),))</f>
        <v/>
      </c>
      <c r="C33" s="11" t="str">
        <f ca="1">IF(ROWS($1:20)&gt;COUNT(Dong),"",OFFSET(TH!F$1,SMALL(Dong,ROWS($1:20)),))</f>
        <v/>
      </c>
      <c r="D33" s="95" t="str">
        <f ca="1">IF(ROWS($1:20)&gt;COUNT(Dong),"",OFFSET(TH!G$1,SMALL(Dong,ROWS($1:20)),))</f>
        <v/>
      </c>
      <c r="E33" s="96" t="str">
        <f ca="1">IF(ROWS($1:20)&gt;COUNT(Dong),"",IF(OFFSET(TH!K$1,SMALL(Dong,ROWS($1:20)),)="331",OFFSET(TH!L$1,SMALL(Dong,ROWS($1:20)),),OFFSET(TH!K$1,SMALL(Dong,ROWS($1:20)),)))</f>
        <v/>
      </c>
      <c r="F33" s="96"/>
      <c r="G33" s="107" t="str">
        <f ca="1">IF(ROWS($1:20)&gt;COUNT(Dong),"",IF(OFFSET(TH!K$1,SMALL(Dong,ROWS($1:20)),)="331",OFFSET(TH!J$1,SMALL(Dong,ROWS($1:20)),),0))</f>
        <v/>
      </c>
      <c r="H33" s="107" t="str">
        <f ca="1">IF(ROWS($1:20)&gt;COUNT(Dong),"",IF(OFFSET(TH!L$1,SMALL(Dong,ROWS($1:20)),)="331",OFFSET(TH!J$1,SMALL(Dong,ROWS($1:20)),),0))</f>
        <v/>
      </c>
      <c r="I33" s="34">
        <f t="shared" ref="I33:I39" ca="1" si="7">IF(D33&lt;&gt;"",MAX(I32+G33-H33-J32,0),0)</f>
        <v>0</v>
      </c>
      <c r="J33" s="34">
        <f t="shared" ref="J33:J39" ca="1" si="8">IF(D33&lt;&gt;"",MAX(J32+H33-I32-G33,0),0)</f>
        <v>0</v>
      </c>
    </row>
    <row r="34" spans="1:10" s="27" customFormat="1" ht="18" customHeight="1">
      <c r="A34" s="11" t="str">
        <f t="shared" ca="1" si="6"/>
        <v/>
      </c>
      <c r="B34" s="11" t="str">
        <f ca="1">IF(ROWS($1:21)&gt;COUNT(Dong),"",OFFSET(TH!E$1,SMALL(Dong,ROWS($1:21)),))</f>
        <v/>
      </c>
      <c r="C34" s="11" t="str">
        <f ca="1">IF(ROWS($1:21)&gt;COUNT(Dong),"",OFFSET(TH!F$1,SMALL(Dong,ROWS($1:21)),))</f>
        <v/>
      </c>
      <c r="D34" s="95" t="str">
        <f ca="1">IF(ROWS($1:21)&gt;COUNT(Dong),"",OFFSET(TH!G$1,SMALL(Dong,ROWS($1:21)),))</f>
        <v/>
      </c>
      <c r="E34" s="96" t="str">
        <f ca="1">IF(ROWS($1:21)&gt;COUNT(Dong),"",IF(OFFSET(TH!K$1,SMALL(Dong,ROWS($1:21)),)="331",OFFSET(TH!L$1,SMALL(Dong,ROWS($1:21)),),OFFSET(TH!K$1,SMALL(Dong,ROWS($1:21)),)))</f>
        <v/>
      </c>
      <c r="F34" s="96"/>
      <c r="G34" s="107" t="str">
        <f ca="1">IF(ROWS($1:21)&gt;COUNT(Dong),"",IF(OFFSET(TH!K$1,SMALL(Dong,ROWS($1:21)),)="331",OFFSET(TH!J$1,SMALL(Dong,ROWS($1:21)),),0))</f>
        <v/>
      </c>
      <c r="H34" s="107" t="str">
        <f ca="1">IF(ROWS($1:21)&gt;COUNT(Dong),"",IF(OFFSET(TH!L$1,SMALL(Dong,ROWS($1:21)),)="331",OFFSET(TH!J$1,SMALL(Dong,ROWS($1:21)),),0))</f>
        <v/>
      </c>
      <c r="I34" s="34">
        <f t="shared" ca="1" si="7"/>
        <v>0</v>
      </c>
      <c r="J34" s="34">
        <f t="shared" ca="1" si="8"/>
        <v>0</v>
      </c>
    </row>
    <row r="35" spans="1:10" s="27" customFormat="1" ht="18" customHeight="1">
      <c r="A35" s="11" t="str">
        <f t="shared" ca="1" si="6"/>
        <v/>
      </c>
      <c r="B35" s="11" t="str">
        <f ca="1">IF(ROWS($1:22)&gt;COUNT(Dong),"",OFFSET(TH!E$1,SMALL(Dong,ROWS($1:22)),))</f>
        <v/>
      </c>
      <c r="C35" s="11" t="str">
        <f ca="1">IF(ROWS($1:22)&gt;COUNT(Dong),"",OFFSET(TH!F$1,SMALL(Dong,ROWS($1:22)),))</f>
        <v/>
      </c>
      <c r="D35" s="95" t="str">
        <f ca="1">IF(ROWS($1:22)&gt;COUNT(Dong),"",OFFSET(TH!G$1,SMALL(Dong,ROWS($1:22)),))</f>
        <v/>
      </c>
      <c r="E35" s="96" t="str">
        <f ca="1">IF(ROWS($1:22)&gt;COUNT(Dong),"",IF(OFFSET(TH!K$1,SMALL(Dong,ROWS($1:22)),)="331",OFFSET(TH!L$1,SMALL(Dong,ROWS($1:22)),),OFFSET(TH!K$1,SMALL(Dong,ROWS($1:22)),)))</f>
        <v/>
      </c>
      <c r="F35" s="96"/>
      <c r="G35" s="107" t="str">
        <f ca="1">IF(ROWS($1:22)&gt;COUNT(Dong),"",IF(OFFSET(TH!K$1,SMALL(Dong,ROWS($1:22)),)="331",OFFSET(TH!J$1,SMALL(Dong,ROWS($1:22)),),0))</f>
        <v/>
      </c>
      <c r="H35" s="107" t="str">
        <f ca="1">IF(ROWS($1:22)&gt;COUNT(Dong),"",IF(OFFSET(TH!L$1,SMALL(Dong,ROWS($1:22)),)="331",OFFSET(TH!J$1,SMALL(Dong,ROWS($1:22)),),0))</f>
        <v/>
      </c>
      <c r="I35" s="34">
        <f t="shared" ca="1" si="7"/>
        <v>0</v>
      </c>
      <c r="J35" s="34">
        <f t="shared" ca="1" si="8"/>
        <v>0</v>
      </c>
    </row>
    <row r="36" spans="1:10" s="27" customFormat="1" ht="18" customHeight="1">
      <c r="A36" s="11" t="str">
        <f t="shared" ca="1" si="6"/>
        <v/>
      </c>
      <c r="B36" s="11" t="str">
        <f ca="1">IF(ROWS($1:23)&gt;COUNT(Dong),"",OFFSET(TH!E$1,SMALL(Dong,ROWS($1:23)),))</f>
        <v/>
      </c>
      <c r="C36" s="11" t="str">
        <f ca="1">IF(ROWS($1:23)&gt;COUNT(Dong),"",OFFSET(TH!F$1,SMALL(Dong,ROWS($1:23)),))</f>
        <v/>
      </c>
      <c r="D36" s="95" t="str">
        <f ca="1">IF(ROWS($1:23)&gt;COUNT(Dong),"",OFFSET(TH!G$1,SMALL(Dong,ROWS($1:23)),))</f>
        <v/>
      </c>
      <c r="E36" s="96" t="str">
        <f ca="1">IF(ROWS($1:23)&gt;COUNT(Dong),"",IF(OFFSET(TH!K$1,SMALL(Dong,ROWS($1:23)),)="331",OFFSET(TH!L$1,SMALL(Dong,ROWS($1:23)),),OFFSET(TH!K$1,SMALL(Dong,ROWS($1:23)),)))</f>
        <v/>
      </c>
      <c r="F36" s="96"/>
      <c r="G36" s="107" t="str">
        <f ca="1">IF(ROWS($1:23)&gt;COUNT(Dong),"",IF(OFFSET(TH!K$1,SMALL(Dong,ROWS($1:23)),)="331",OFFSET(TH!J$1,SMALL(Dong,ROWS($1:23)),),0))</f>
        <v/>
      </c>
      <c r="H36" s="107" t="str">
        <f ca="1">IF(ROWS($1:23)&gt;COUNT(Dong),"",IF(OFFSET(TH!L$1,SMALL(Dong,ROWS($1:23)),)="331",OFFSET(TH!J$1,SMALL(Dong,ROWS($1:23)),),0))</f>
        <v/>
      </c>
      <c r="I36" s="34">
        <f t="shared" ca="1" si="7"/>
        <v>0</v>
      </c>
      <c r="J36" s="34">
        <f t="shared" ca="1" si="8"/>
        <v>0</v>
      </c>
    </row>
    <row r="37" spans="1:10" s="27" customFormat="1" ht="18" customHeight="1">
      <c r="A37" s="11" t="str">
        <f t="shared" ca="1" si="6"/>
        <v/>
      </c>
      <c r="B37" s="11" t="str">
        <f ca="1">IF(ROWS($1:24)&gt;COUNT(Dong),"",OFFSET(TH!E$1,SMALL(Dong,ROWS($1:24)),))</f>
        <v/>
      </c>
      <c r="C37" s="11" t="str">
        <f ca="1">IF(ROWS($1:24)&gt;COUNT(Dong),"",OFFSET(TH!F$1,SMALL(Dong,ROWS($1:24)),))</f>
        <v/>
      </c>
      <c r="D37" s="95" t="str">
        <f ca="1">IF(ROWS($1:24)&gt;COUNT(Dong),"",OFFSET(TH!G$1,SMALL(Dong,ROWS($1:24)),))</f>
        <v/>
      </c>
      <c r="E37" s="96" t="str">
        <f ca="1">IF(ROWS($1:24)&gt;COUNT(Dong),"",IF(OFFSET(TH!K$1,SMALL(Dong,ROWS($1:24)),)="331",OFFSET(TH!L$1,SMALL(Dong,ROWS($1:24)),),OFFSET(TH!K$1,SMALL(Dong,ROWS($1:24)),)))</f>
        <v/>
      </c>
      <c r="F37" s="96"/>
      <c r="G37" s="107" t="str">
        <f ca="1">IF(ROWS($1:24)&gt;COUNT(Dong),"",IF(OFFSET(TH!K$1,SMALL(Dong,ROWS($1:24)),)="331",OFFSET(TH!J$1,SMALL(Dong,ROWS($1:24)),),0))</f>
        <v/>
      </c>
      <c r="H37" s="107" t="str">
        <f ca="1">IF(ROWS($1:24)&gt;COUNT(Dong),"",IF(OFFSET(TH!L$1,SMALL(Dong,ROWS($1:24)),)="331",OFFSET(TH!J$1,SMALL(Dong,ROWS($1:24)),),0))</f>
        <v/>
      </c>
      <c r="I37" s="34">
        <f t="shared" ca="1" si="7"/>
        <v>0</v>
      </c>
      <c r="J37" s="34">
        <f t="shared" ca="1" si="8"/>
        <v>0</v>
      </c>
    </row>
    <row r="38" spans="1:10" s="27" customFormat="1" ht="18" customHeight="1">
      <c r="A38" s="11" t="str">
        <f t="shared" ca="1" si="6"/>
        <v/>
      </c>
      <c r="B38" s="11" t="str">
        <f ca="1">IF(ROWS($1:25)&gt;COUNT(Dong),"",OFFSET(TH!E$1,SMALL(Dong,ROWS($1:25)),))</f>
        <v/>
      </c>
      <c r="C38" s="11" t="str">
        <f ca="1">IF(ROWS($1:25)&gt;COUNT(Dong),"",OFFSET(TH!F$1,SMALL(Dong,ROWS($1:25)),))</f>
        <v/>
      </c>
      <c r="D38" s="95" t="str">
        <f ca="1">IF(ROWS($1:25)&gt;COUNT(Dong),"",OFFSET(TH!G$1,SMALL(Dong,ROWS($1:25)),))</f>
        <v/>
      </c>
      <c r="E38" s="96" t="str">
        <f ca="1">IF(ROWS($1:25)&gt;COUNT(Dong),"",IF(OFFSET(TH!K$1,SMALL(Dong,ROWS($1:25)),)="331",OFFSET(TH!L$1,SMALL(Dong,ROWS($1:25)),),OFFSET(TH!K$1,SMALL(Dong,ROWS($1:25)),)))</f>
        <v/>
      </c>
      <c r="F38" s="96"/>
      <c r="G38" s="107" t="str">
        <f ca="1">IF(ROWS($1:25)&gt;COUNT(Dong),"",IF(OFFSET(TH!K$1,SMALL(Dong,ROWS($1:25)),)="331",OFFSET(TH!J$1,SMALL(Dong,ROWS($1:25)),),0))</f>
        <v/>
      </c>
      <c r="H38" s="107" t="str">
        <f ca="1">IF(ROWS($1:25)&gt;COUNT(Dong),"",IF(OFFSET(TH!L$1,SMALL(Dong,ROWS($1:25)),)="331",OFFSET(TH!J$1,SMALL(Dong,ROWS($1:25)),),0))</f>
        <v/>
      </c>
      <c r="I38" s="34">
        <f t="shared" ca="1" si="7"/>
        <v>0</v>
      </c>
      <c r="J38" s="34">
        <f t="shared" ca="1" si="8"/>
        <v>0</v>
      </c>
    </row>
    <row r="39" spans="1:10" s="27" customFormat="1" ht="18" customHeight="1">
      <c r="A39" s="11" t="str">
        <f t="shared" ca="1" si="6"/>
        <v/>
      </c>
      <c r="B39" s="11" t="str">
        <f ca="1">IF(ROWS($1:26)&gt;COUNT(Dong),"",OFFSET(TH!E$1,SMALL(Dong,ROWS($1:26)),))</f>
        <v/>
      </c>
      <c r="C39" s="11" t="str">
        <f ca="1">IF(ROWS($1:26)&gt;COUNT(Dong),"",OFFSET(TH!F$1,SMALL(Dong,ROWS($1:26)),))</f>
        <v/>
      </c>
      <c r="D39" s="95" t="str">
        <f ca="1">IF(ROWS($1:26)&gt;COUNT(Dong),"",OFFSET(TH!G$1,SMALL(Dong,ROWS($1:26)),))</f>
        <v/>
      </c>
      <c r="E39" s="96" t="str">
        <f ca="1">IF(ROWS($1:26)&gt;COUNT(Dong),"",IF(OFFSET(TH!K$1,SMALL(Dong,ROWS($1:26)),)="331",OFFSET(TH!L$1,SMALL(Dong,ROWS($1:26)),),OFFSET(TH!K$1,SMALL(Dong,ROWS($1:26)),)))</f>
        <v/>
      </c>
      <c r="F39" s="96"/>
      <c r="G39" s="107" t="str">
        <f ca="1">IF(ROWS($1:26)&gt;COUNT(Dong),"",IF(OFFSET(TH!K$1,SMALL(Dong,ROWS($1:26)),)="331",OFFSET(TH!J$1,SMALL(Dong,ROWS($1:26)),),0))</f>
        <v/>
      </c>
      <c r="H39" s="107" t="str">
        <f ca="1">IF(ROWS($1:26)&gt;COUNT(Dong),"",IF(OFFSET(TH!L$1,SMALL(Dong,ROWS($1:26)),)="331",OFFSET(TH!J$1,SMALL(Dong,ROWS($1:26)),),0))</f>
        <v/>
      </c>
      <c r="I39" s="34">
        <f t="shared" ca="1" si="7"/>
        <v>0</v>
      </c>
      <c r="J39" s="34">
        <f t="shared" ca="1" si="8"/>
        <v>0</v>
      </c>
    </row>
    <row r="40" spans="1:10" s="27" customFormat="1" ht="18" customHeight="1">
      <c r="A40" s="11" t="str">
        <f t="shared" ref="A40:A43" ca="1" si="9">IF(C40&lt;&gt;"",C40,"")</f>
        <v/>
      </c>
      <c r="B40" s="11" t="str">
        <f ca="1">IF(ROWS($1:27)&gt;COUNT(Dong),"",OFFSET(TH!E$1,SMALL(Dong,ROWS($1:27)),))</f>
        <v/>
      </c>
      <c r="C40" s="11" t="str">
        <f ca="1">IF(ROWS($1:27)&gt;COUNT(Dong),"",OFFSET(TH!F$1,SMALL(Dong,ROWS($1:27)),))</f>
        <v/>
      </c>
      <c r="D40" s="95" t="str">
        <f ca="1">IF(ROWS($1:27)&gt;COUNT(Dong),"",OFFSET(TH!G$1,SMALL(Dong,ROWS($1:27)),))</f>
        <v/>
      </c>
      <c r="E40" s="96" t="str">
        <f ca="1">IF(ROWS($1:27)&gt;COUNT(Dong),"",IF(OFFSET(TH!K$1,SMALL(Dong,ROWS($1:27)),)="331",OFFSET(TH!L$1,SMALL(Dong,ROWS($1:27)),),OFFSET(TH!K$1,SMALL(Dong,ROWS($1:27)),)))</f>
        <v/>
      </c>
      <c r="F40" s="96"/>
      <c r="G40" s="115" t="str">
        <f ca="1">IF(ROWS($1:27)&gt;COUNT(Dong),"",IF(OFFSET(TH!K$1,SMALL(Dong,ROWS($1:27)),)="331",OFFSET(TH!J$1,SMALL(Dong,ROWS($1:27)),),0))</f>
        <v/>
      </c>
      <c r="H40" s="115" t="str">
        <f ca="1">IF(ROWS($1:27)&gt;COUNT(Dong),"",IF(OFFSET(TH!L$1,SMALL(Dong,ROWS($1:27)),)="331",OFFSET(TH!J$1,SMALL(Dong,ROWS($1:27)),),0))</f>
        <v/>
      </c>
      <c r="I40" s="34">
        <f t="shared" ref="I40:I43" ca="1" si="10">IF(D40&lt;&gt;"",MAX(I39+G40-H40-J39,0),0)</f>
        <v>0</v>
      </c>
      <c r="J40" s="34">
        <f t="shared" ref="J40:J43" ca="1" si="11">IF(D40&lt;&gt;"",MAX(J39+H40-I39-G40,0),0)</f>
        <v>0</v>
      </c>
    </row>
    <row r="41" spans="1:10" s="27" customFormat="1" ht="18" customHeight="1">
      <c r="A41" s="11" t="str">
        <f t="shared" ca="1" si="9"/>
        <v/>
      </c>
      <c r="B41" s="11" t="str">
        <f ca="1">IF(ROWS($1:28)&gt;COUNT(Dong),"",OFFSET(TH!E$1,SMALL(Dong,ROWS($1:28)),))</f>
        <v/>
      </c>
      <c r="C41" s="11" t="str">
        <f ca="1">IF(ROWS($1:28)&gt;COUNT(Dong),"",OFFSET(TH!F$1,SMALL(Dong,ROWS($1:28)),))</f>
        <v/>
      </c>
      <c r="D41" s="95" t="str">
        <f ca="1">IF(ROWS($1:28)&gt;COUNT(Dong),"",OFFSET(TH!G$1,SMALL(Dong,ROWS($1:28)),))</f>
        <v/>
      </c>
      <c r="E41" s="96" t="str">
        <f ca="1">IF(ROWS($1:28)&gt;COUNT(Dong),"",IF(OFFSET(TH!K$1,SMALL(Dong,ROWS($1:28)),)="331",OFFSET(TH!L$1,SMALL(Dong,ROWS($1:28)),),OFFSET(TH!K$1,SMALL(Dong,ROWS($1:28)),)))</f>
        <v/>
      </c>
      <c r="F41" s="96"/>
      <c r="G41" s="115" t="str">
        <f ca="1">IF(ROWS($1:28)&gt;COUNT(Dong),"",IF(OFFSET(TH!K$1,SMALL(Dong,ROWS($1:28)),)="331",OFFSET(TH!J$1,SMALL(Dong,ROWS($1:28)),),0))</f>
        <v/>
      </c>
      <c r="H41" s="115" t="str">
        <f ca="1">IF(ROWS($1:28)&gt;COUNT(Dong),"",IF(OFFSET(TH!L$1,SMALL(Dong,ROWS($1:28)),)="331",OFFSET(TH!J$1,SMALL(Dong,ROWS($1:28)),),0))</f>
        <v/>
      </c>
      <c r="I41" s="34">
        <f t="shared" ca="1" si="10"/>
        <v>0</v>
      </c>
      <c r="J41" s="34">
        <f t="shared" ca="1" si="11"/>
        <v>0</v>
      </c>
    </row>
    <row r="42" spans="1:10" s="27" customFormat="1" ht="18" customHeight="1">
      <c r="A42" s="11" t="str">
        <f t="shared" ca="1" si="9"/>
        <v/>
      </c>
      <c r="B42" s="11" t="str">
        <f ca="1">IF(ROWS($1:29)&gt;COUNT(Dong),"",OFFSET(TH!E$1,SMALL(Dong,ROWS($1:29)),))</f>
        <v/>
      </c>
      <c r="C42" s="11" t="str">
        <f ca="1">IF(ROWS($1:29)&gt;COUNT(Dong),"",OFFSET(TH!F$1,SMALL(Dong,ROWS($1:29)),))</f>
        <v/>
      </c>
      <c r="D42" s="95" t="str">
        <f ca="1">IF(ROWS($1:29)&gt;COUNT(Dong),"",OFFSET(TH!G$1,SMALL(Dong,ROWS($1:29)),))</f>
        <v/>
      </c>
      <c r="E42" s="96" t="str">
        <f ca="1">IF(ROWS($1:29)&gt;COUNT(Dong),"",IF(OFFSET(TH!K$1,SMALL(Dong,ROWS($1:29)),)="331",OFFSET(TH!L$1,SMALL(Dong,ROWS($1:29)),),OFFSET(TH!K$1,SMALL(Dong,ROWS($1:29)),)))</f>
        <v/>
      </c>
      <c r="F42" s="96"/>
      <c r="G42" s="115" t="str">
        <f ca="1">IF(ROWS($1:29)&gt;COUNT(Dong),"",IF(OFFSET(TH!K$1,SMALL(Dong,ROWS($1:29)),)="331",OFFSET(TH!J$1,SMALL(Dong,ROWS($1:29)),),0))</f>
        <v/>
      </c>
      <c r="H42" s="115" t="str">
        <f ca="1">IF(ROWS($1:29)&gt;COUNT(Dong),"",IF(OFFSET(TH!L$1,SMALL(Dong,ROWS($1:29)),)="331",OFFSET(TH!J$1,SMALL(Dong,ROWS($1:29)),),0))</f>
        <v/>
      </c>
      <c r="I42" s="34">
        <f t="shared" ca="1" si="10"/>
        <v>0</v>
      </c>
      <c r="J42" s="34">
        <f t="shared" ca="1" si="11"/>
        <v>0</v>
      </c>
    </row>
    <row r="43" spans="1:10" s="27" customFormat="1" ht="18" customHeight="1">
      <c r="A43" s="11" t="str">
        <f t="shared" ca="1" si="9"/>
        <v/>
      </c>
      <c r="B43" s="11" t="str">
        <f ca="1">IF(ROWS($1:30)&gt;COUNT(Dong),"",OFFSET(TH!E$1,SMALL(Dong,ROWS($1:30)),))</f>
        <v/>
      </c>
      <c r="C43" s="11" t="str">
        <f ca="1">IF(ROWS($1:30)&gt;COUNT(Dong),"",OFFSET(TH!F$1,SMALL(Dong,ROWS($1:30)),))</f>
        <v/>
      </c>
      <c r="D43" s="95" t="str">
        <f ca="1">IF(ROWS($1:30)&gt;COUNT(Dong),"",OFFSET(TH!G$1,SMALL(Dong,ROWS($1:30)),))</f>
        <v/>
      </c>
      <c r="E43" s="96" t="str">
        <f ca="1">IF(ROWS($1:30)&gt;COUNT(Dong),"",IF(OFFSET(TH!K$1,SMALL(Dong,ROWS($1:30)),)="331",OFFSET(TH!L$1,SMALL(Dong,ROWS($1:30)),),OFFSET(TH!K$1,SMALL(Dong,ROWS($1:30)),)))</f>
        <v/>
      </c>
      <c r="F43" s="96"/>
      <c r="G43" s="115" t="str">
        <f ca="1">IF(ROWS($1:30)&gt;COUNT(Dong),"",IF(OFFSET(TH!K$1,SMALL(Dong,ROWS($1:30)),)="331",OFFSET(TH!J$1,SMALL(Dong,ROWS($1:30)),),0))</f>
        <v/>
      </c>
      <c r="H43" s="115" t="str">
        <f ca="1">IF(ROWS($1:30)&gt;COUNT(Dong),"",IF(OFFSET(TH!L$1,SMALL(Dong,ROWS($1:30)),)="331",OFFSET(TH!J$1,SMALL(Dong,ROWS($1:30)),),0))</f>
        <v/>
      </c>
      <c r="I43" s="34">
        <f t="shared" ca="1" si="10"/>
        <v>0</v>
      </c>
      <c r="J43" s="34">
        <f t="shared" ca="1" si="11"/>
        <v>0</v>
      </c>
    </row>
    <row r="44" spans="1:10" s="27" customFormat="1" ht="18" customHeight="1">
      <c r="A44" s="11" t="str">
        <f t="shared" ref="A44:A53" ca="1" si="12">IF(C44&lt;&gt;"",C44,"")</f>
        <v/>
      </c>
      <c r="B44" s="11" t="str">
        <f ca="1">IF(ROWS($1:31)&gt;COUNT(Dong),"",OFFSET(TH!E$1,SMALL(Dong,ROWS($1:31)),))</f>
        <v/>
      </c>
      <c r="C44" s="11" t="str">
        <f ca="1">IF(ROWS($1:31)&gt;COUNT(Dong),"",OFFSET(TH!F$1,SMALL(Dong,ROWS($1:31)),))</f>
        <v/>
      </c>
      <c r="D44" s="95" t="str">
        <f ca="1">IF(ROWS($1:31)&gt;COUNT(Dong),"",OFFSET(TH!G$1,SMALL(Dong,ROWS($1:31)),))</f>
        <v/>
      </c>
      <c r="E44" s="96" t="str">
        <f ca="1">IF(ROWS($1:31)&gt;COUNT(Dong),"",IF(OFFSET(TH!K$1,SMALL(Dong,ROWS($1:31)),)="331",OFFSET(TH!L$1,SMALL(Dong,ROWS($1:31)),),OFFSET(TH!K$1,SMALL(Dong,ROWS($1:31)),)))</f>
        <v/>
      </c>
      <c r="F44" s="96"/>
      <c r="G44" s="115" t="str">
        <f ca="1">IF(ROWS($1:31)&gt;COUNT(Dong),"",IF(OFFSET(TH!K$1,SMALL(Dong,ROWS($1:31)),)="331",OFFSET(TH!J$1,SMALL(Dong,ROWS($1:31)),),0))</f>
        <v/>
      </c>
      <c r="H44" s="115" t="str">
        <f ca="1">IF(ROWS($1:31)&gt;COUNT(Dong),"",IF(OFFSET(TH!L$1,SMALL(Dong,ROWS($1:31)),)="331",OFFSET(TH!J$1,SMALL(Dong,ROWS($1:31)),),0))</f>
        <v/>
      </c>
      <c r="I44" s="34">
        <f t="shared" ref="I44:I53" ca="1" si="13">IF(D44&lt;&gt;"",MAX(I43+G44-H44-J43,0),0)</f>
        <v>0</v>
      </c>
      <c r="J44" s="34">
        <f t="shared" ref="J44:J53" ca="1" si="14">IF(D44&lt;&gt;"",MAX(J43+H44-I43-G44,0),0)</f>
        <v>0</v>
      </c>
    </row>
    <row r="45" spans="1:10" s="27" customFormat="1" ht="18" customHeight="1">
      <c r="A45" s="11" t="str">
        <f t="shared" ca="1" si="12"/>
        <v/>
      </c>
      <c r="B45" s="11" t="str">
        <f ca="1">IF(ROWS($1:32)&gt;COUNT(Dong),"",OFFSET(TH!E$1,SMALL(Dong,ROWS($1:32)),))</f>
        <v/>
      </c>
      <c r="C45" s="11" t="str">
        <f ca="1">IF(ROWS($1:32)&gt;COUNT(Dong),"",OFFSET(TH!F$1,SMALL(Dong,ROWS($1:32)),))</f>
        <v/>
      </c>
      <c r="D45" s="95" t="str">
        <f ca="1">IF(ROWS($1:32)&gt;COUNT(Dong),"",OFFSET(TH!G$1,SMALL(Dong,ROWS($1:32)),))</f>
        <v/>
      </c>
      <c r="E45" s="96" t="str">
        <f ca="1">IF(ROWS($1:32)&gt;COUNT(Dong),"",IF(OFFSET(TH!K$1,SMALL(Dong,ROWS($1:32)),)="331",OFFSET(TH!L$1,SMALL(Dong,ROWS($1:32)),),OFFSET(TH!K$1,SMALL(Dong,ROWS($1:32)),)))</f>
        <v/>
      </c>
      <c r="F45" s="96"/>
      <c r="G45" s="115" t="str">
        <f ca="1">IF(ROWS($1:32)&gt;COUNT(Dong),"",IF(OFFSET(TH!K$1,SMALL(Dong,ROWS($1:32)),)="331",OFFSET(TH!J$1,SMALL(Dong,ROWS($1:32)),),0))</f>
        <v/>
      </c>
      <c r="H45" s="115" t="str">
        <f ca="1">IF(ROWS($1:32)&gt;COUNT(Dong),"",IF(OFFSET(TH!L$1,SMALL(Dong,ROWS($1:32)),)="331",OFFSET(TH!J$1,SMALL(Dong,ROWS($1:32)),),0))</f>
        <v/>
      </c>
      <c r="I45" s="34">
        <f t="shared" ca="1" si="13"/>
        <v>0</v>
      </c>
      <c r="J45" s="34">
        <f t="shared" ca="1" si="14"/>
        <v>0</v>
      </c>
    </row>
    <row r="46" spans="1:10" s="27" customFormat="1" ht="18" customHeight="1">
      <c r="A46" s="11" t="str">
        <f t="shared" ca="1" si="12"/>
        <v/>
      </c>
      <c r="B46" s="11" t="str">
        <f ca="1">IF(ROWS($1:33)&gt;COUNT(Dong),"",OFFSET(TH!E$1,SMALL(Dong,ROWS($1:33)),))</f>
        <v/>
      </c>
      <c r="C46" s="11" t="str">
        <f ca="1">IF(ROWS($1:33)&gt;COUNT(Dong),"",OFFSET(TH!F$1,SMALL(Dong,ROWS($1:33)),))</f>
        <v/>
      </c>
      <c r="D46" s="95" t="str">
        <f ca="1">IF(ROWS($1:33)&gt;COUNT(Dong),"",OFFSET(TH!G$1,SMALL(Dong,ROWS($1:33)),))</f>
        <v/>
      </c>
      <c r="E46" s="96" t="str">
        <f ca="1">IF(ROWS($1:33)&gt;COUNT(Dong),"",IF(OFFSET(TH!K$1,SMALL(Dong,ROWS($1:33)),)="331",OFFSET(TH!L$1,SMALL(Dong,ROWS($1:33)),),OFFSET(TH!K$1,SMALL(Dong,ROWS($1:33)),)))</f>
        <v/>
      </c>
      <c r="F46" s="96"/>
      <c r="G46" s="115" t="str">
        <f ca="1">IF(ROWS($1:33)&gt;COUNT(Dong),"",IF(OFFSET(TH!K$1,SMALL(Dong,ROWS($1:33)),)="331",OFFSET(TH!J$1,SMALL(Dong,ROWS($1:33)),),0))</f>
        <v/>
      </c>
      <c r="H46" s="115" t="str">
        <f ca="1">IF(ROWS($1:33)&gt;COUNT(Dong),"",IF(OFFSET(TH!L$1,SMALL(Dong,ROWS($1:33)),)="331",OFFSET(TH!J$1,SMALL(Dong,ROWS($1:33)),),0))</f>
        <v/>
      </c>
      <c r="I46" s="34">
        <f t="shared" ca="1" si="13"/>
        <v>0</v>
      </c>
      <c r="J46" s="34">
        <f t="shared" ca="1" si="14"/>
        <v>0</v>
      </c>
    </row>
    <row r="47" spans="1:10" s="27" customFormat="1" ht="18" customHeight="1">
      <c r="A47" s="11" t="str">
        <f t="shared" ca="1" si="12"/>
        <v/>
      </c>
      <c r="B47" s="11" t="str">
        <f ca="1">IF(ROWS($1:34)&gt;COUNT(Dong),"",OFFSET(TH!E$1,SMALL(Dong,ROWS($1:34)),))</f>
        <v/>
      </c>
      <c r="C47" s="11" t="str">
        <f ca="1">IF(ROWS($1:34)&gt;COUNT(Dong),"",OFFSET(TH!F$1,SMALL(Dong,ROWS($1:34)),))</f>
        <v/>
      </c>
      <c r="D47" s="95" t="str">
        <f ca="1">IF(ROWS($1:34)&gt;COUNT(Dong),"",OFFSET(TH!G$1,SMALL(Dong,ROWS($1:34)),))</f>
        <v/>
      </c>
      <c r="E47" s="96" t="str">
        <f ca="1">IF(ROWS($1:34)&gt;COUNT(Dong),"",IF(OFFSET(TH!K$1,SMALL(Dong,ROWS($1:34)),)="331",OFFSET(TH!L$1,SMALL(Dong,ROWS($1:34)),),OFFSET(TH!K$1,SMALL(Dong,ROWS($1:34)),)))</f>
        <v/>
      </c>
      <c r="F47" s="96"/>
      <c r="G47" s="115" t="str">
        <f ca="1">IF(ROWS($1:34)&gt;COUNT(Dong),"",IF(OFFSET(TH!K$1,SMALL(Dong,ROWS($1:34)),)="331",OFFSET(TH!J$1,SMALL(Dong,ROWS($1:34)),),0))</f>
        <v/>
      </c>
      <c r="H47" s="115" t="str">
        <f ca="1">IF(ROWS($1:34)&gt;COUNT(Dong),"",IF(OFFSET(TH!L$1,SMALL(Dong,ROWS($1:34)),)="331",OFFSET(TH!J$1,SMALL(Dong,ROWS($1:34)),),0))</f>
        <v/>
      </c>
      <c r="I47" s="34">
        <f t="shared" ca="1" si="13"/>
        <v>0</v>
      </c>
      <c r="J47" s="34">
        <f t="shared" ca="1" si="14"/>
        <v>0</v>
      </c>
    </row>
    <row r="48" spans="1:10" s="27" customFormat="1" ht="18" customHeight="1">
      <c r="A48" s="11" t="str">
        <f t="shared" ca="1" si="12"/>
        <v/>
      </c>
      <c r="B48" s="11" t="str">
        <f ca="1">IF(ROWS($1:35)&gt;COUNT(Dong),"",OFFSET(TH!E$1,SMALL(Dong,ROWS($1:35)),))</f>
        <v/>
      </c>
      <c r="C48" s="11" t="str">
        <f ca="1">IF(ROWS($1:35)&gt;COUNT(Dong),"",OFFSET(TH!F$1,SMALL(Dong,ROWS($1:35)),))</f>
        <v/>
      </c>
      <c r="D48" s="95" t="str">
        <f ca="1">IF(ROWS($1:35)&gt;COUNT(Dong),"",OFFSET(TH!G$1,SMALL(Dong,ROWS($1:35)),))</f>
        <v/>
      </c>
      <c r="E48" s="96" t="str">
        <f ca="1">IF(ROWS($1:35)&gt;COUNT(Dong),"",IF(OFFSET(TH!K$1,SMALL(Dong,ROWS($1:35)),)="331",OFFSET(TH!L$1,SMALL(Dong,ROWS($1:35)),),OFFSET(TH!K$1,SMALL(Dong,ROWS($1:35)),)))</f>
        <v/>
      </c>
      <c r="F48" s="96"/>
      <c r="G48" s="115" t="str">
        <f ca="1">IF(ROWS($1:35)&gt;COUNT(Dong),"",IF(OFFSET(TH!K$1,SMALL(Dong,ROWS($1:35)),)="331",OFFSET(TH!J$1,SMALL(Dong,ROWS($1:35)),),0))</f>
        <v/>
      </c>
      <c r="H48" s="115" t="str">
        <f ca="1">IF(ROWS($1:35)&gt;COUNT(Dong),"",IF(OFFSET(TH!L$1,SMALL(Dong,ROWS($1:35)),)="331",OFFSET(TH!J$1,SMALL(Dong,ROWS($1:35)),),0))</f>
        <v/>
      </c>
      <c r="I48" s="34">
        <f t="shared" ca="1" si="13"/>
        <v>0</v>
      </c>
      <c r="J48" s="34">
        <f t="shared" ca="1" si="14"/>
        <v>0</v>
      </c>
    </row>
    <row r="49" spans="1:10" s="27" customFormat="1" ht="18" customHeight="1">
      <c r="A49" s="11" t="str">
        <f t="shared" ca="1" si="12"/>
        <v/>
      </c>
      <c r="B49" s="11" t="str">
        <f ca="1">IF(ROWS($1:36)&gt;COUNT(Dong),"",OFFSET(TH!E$1,SMALL(Dong,ROWS($1:36)),))</f>
        <v/>
      </c>
      <c r="C49" s="11" t="str">
        <f ca="1">IF(ROWS($1:36)&gt;COUNT(Dong),"",OFFSET(TH!F$1,SMALL(Dong,ROWS($1:36)),))</f>
        <v/>
      </c>
      <c r="D49" s="95" t="str">
        <f ca="1">IF(ROWS($1:36)&gt;COUNT(Dong),"",OFFSET(TH!G$1,SMALL(Dong,ROWS($1:36)),))</f>
        <v/>
      </c>
      <c r="E49" s="96" t="str">
        <f ca="1">IF(ROWS($1:36)&gt;COUNT(Dong),"",IF(OFFSET(TH!K$1,SMALL(Dong,ROWS($1:36)),)="331",OFFSET(TH!L$1,SMALL(Dong,ROWS($1:36)),),OFFSET(TH!K$1,SMALL(Dong,ROWS($1:36)),)))</f>
        <v/>
      </c>
      <c r="F49" s="96"/>
      <c r="G49" s="115" t="str">
        <f ca="1">IF(ROWS($1:36)&gt;COUNT(Dong),"",IF(OFFSET(TH!K$1,SMALL(Dong,ROWS($1:36)),)="331",OFFSET(TH!J$1,SMALL(Dong,ROWS($1:36)),),0))</f>
        <v/>
      </c>
      <c r="H49" s="115" t="str">
        <f ca="1">IF(ROWS($1:36)&gt;COUNT(Dong),"",IF(OFFSET(TH!L$1,SMALL(Dong,ROWS($1:36)),)="331",OFFSET(TH!J$1,SMALL(Dong,ROWS($1:36)),),0))</f>
        <v/>
      </c>
      <c r="I49" s="34">
        <f t="shared" ca="1" si="13"/>
        <v>0</v>
      </c>
      <c r="J49" s="34">
        <f t="shared" ca="1" si="14"/>
        <v>0</v>
      </c>
    </row>
    <row r="50" spans="1:10" s="27" customFormat="1" ht="18" customHeight="1">
      <c r="A50" s="11" t="str">
        <f t="shared" ca="1" si="12"/>
        <v/>
      </c>
      <c r="B50" s="11" t="str">
        <f ca="1">IF(ROWS($1:37)&gt;COUNT(Dong),"",OFFSET(TH!E$1,SMALL(Dong,ROWS($1:37)),))</f>
        <v/>
      </c>
      <c r="C50" s="11" t="str">
        <f ca="1">IF(ROWS($1:37)&gt;COUNT(Dong),"",OFFSET(TH!F$1,SMALL(Dong,ROWS($1:37)),))</f>
        <v/>
      </c>
      <c r="D50" s="95" t="str">
        <f ca="1">IF(ROWS($1:37)&gt;COUNT(Dong),"",OFFSET(TH!G$1,SMALL(Dong,ROWS($1:37)),))</f>
        <v/>
      </c>
      <c r="E50" s="96" t="str">
        <f ca="1">IF(ROWS($1:37)&gt;COUNT(Dong),"",IF(OFFSET(TH!K$1,SMALL(Dong,ROWS($1:37)),)="331",OFFSET(TH!L$1,SMALL(Dong,ROWS($1:37)),),OFFSET(TH!K$1,SMALL(Dong,ROWS($1:37)),)))</f>
        <v/>
      </c>
      <c r="F50" s="96"/>
      <c r="G50" s="115" t="str">
        <f ca="1">IF(ROWS($1:37)&gt;COUNT(Dong),"",IF(OFFSET(TH!K$1,SMALL(Dong,ROWS($1:37)),)="331",OFFSET(TH!J$1,SMALL(Dong,ROWS($1:37)),),0))</f>
        <v/>
      </c>
      <c r="H50" s="115" t="str">
        <f ca="1">IF(ROWS($1:37)&gt;COUNT(Dong),"",IF(OFFSET(TH!L$1,SMALL(Dong,ROWS($1:37)),)="331",OFFSET(TH!J$1,SMALL(Dong,ROWS($1:37)),),0))</f>
        <v/>
      </c>
      <c r="I50" s="34">
        <f t="shared" ca="1" si="13"/>
        <v>0</v>
      </c>
      <c r="J50" s="34">
        <f t="shared" ca="1" si="14"/>
        <v>0</v>
      </c>
    </row>
    <row r="51" spans="1:10" s="27" customFormat="1" ht="18" customHeight="1">
      <c r="A51" s="11" t="str">
        <f t="shared" ca="1" si="12"/>
        <v/>
      </c>
      <c r="B51" s="11" t="str">
        <f ca="1">IF(ROWS($1:38)&gt;COUNT(Dong),"",OFFSET(TH!E$1,SMALL(Dong,ROWS($1:38)),))</f>
        <v/>
      </c>
      <c r="C51" s="11" t="str">
        <f ca="1">IF(ROWS($1:38)&gt;COUNT(Dong),"",OFFSET(TH!F$1,SMALL(Dong,ROWS($1:38)),))</f>
        <v/>
      </c>
      <c r="D51" s="95" t="str">
        <f ca="1">IF(ROWS($1:38)&gt;COUNT(Dong),"",OFFSET(TH!G$1,SMALL(Dong,ROWS($1:38)),))</f>
        <v/>
      </c>
      <c r="E51" s="96" t="str">
        <f ca="1">IF(ROWS($1:38)&gt;COUNT(Dong),"",IF(OFFSET(TH!K$1,SMALL(Dong,ROWS($1:38)),)="331",OFFSET(TH!L$1,SMALL(Dong,ROWS($1:38)),),OFFSET(TH!K$1,SMALL(Dong,ROWS($1:38)),)))</f>
        <v/>
      </c>
      <c r="F51" s="96"/>
      <c r="G51" s="115" t="str">
        <f ca="1">IF(ROWS($1:38)&gt;COUNT(Dong),"",IF(OFFSET(TH!K$1,SMALL(Dong,ROWS($1:38)),)="331",OFFSET(TH!J$1,SMALL(Dong,ROWS($1:38)),),0))</f>
        <v/>
      </c>
      <c r="H51" s="115" t="str">
        <f ca="1">IF(ROWS($1:38)&gt;COUNT(Dong),"",IF(OFFSET(TH!L$1,SMALL(Dong,ROWS($1:38)),)="331",OFFSET(TH!J$1,SMALL(Dong,ROWS($1:38)),),0))</f>
        <v/>
      </c>
      <c r="I51" s="34">
        <f t="shared" ca="1" si="13"/>
        <v>0</v>
      </c>
      <c r="J51" s="34">
        <f t="shared" ca="1" si="14"/>
        <v>0</v>
      </c>
    </row>
    <row r="52" spans="1:10" s="27" customFormat="1" ht="18" customHeight="1">
      <c r="A52" s="11" t="str">
        <f t="shared" ca="1" si="12"/>
        <v/>
      </c>
      <c r="B52" s="11" t="str">
        <f ca="1">IF(ROWS($1:39)&gt;COUNT(Dong),"",OFFSET(TH!E$1,SMALL(Dong,ROWS($1:39)),))</f>
        <v/>
      </c>
      <c r="C52" s="11" t="str">
        <f ca="1">IF(ROWS($1:39)&gt;COUNT(Dong),"",OFFSET(TH!F$1,SMALL(Dong,ROWS($1:39)),))</f>
        <v/>
      </c>
      <c r="D52" s="95" t="str">
        <f ca="1">IF(ROWS($1:39)&gt;COUNT(Dong),"",OFFSET(TH!G$1,SMALL(Dong,ROWS($1:39)),))</f>
        <v/>
      </c>
      <c r="E52" s="96" t="str">
        <f ca="1">IF(ROWS($1:39)&gt;COUNT(Dong),"",IF(OFFSET(TH!K$1,SMALL(Dong,ROWS($1:39)),)="331",OFFSET(TH!L$1,SMALL(Dong,ROWS($1:39)),),OFFSET(TH!K$1,SMALL(Dong,ROWS($1:39)),)))</f>
        <v/>
      </c>
      <c r="F52" s="96"/>
      <c r="G52" s="115" t="str">
        <f ca="1">IF(ROWS($1:39)&gt;COUNT(Dong),"",IF(OFFSET(TH!K$1,SMALL(Dong,ROWS($1:39)),)="331",OFFSET(TH!J$1,SMALL(Dong,ROWS($1:39)),),0))</f>
        <v/>
      </c>
      <c r="H52" s="115" t="str">
        <f ca="1">IF(ROWS($1:39)&gt;COUNT(Dong),"",IF(OFFSET(TH!L$1,SMALL(Dong,ROWS($1:39)),)="331",OFFSET(TH!J$1,SMALL(Dong,ROWS($1:39)),),0))</f>
        <v/>
      </c>
      <c r="I52" s="34">
        <f t="shared" ca="1" si="13"/>
        <v>0</v>
      </c>
      <c r="J52" s="34">
        <f t="shared" ca="1" si="14"/>
        <v>0</v>
      </c>
    </row>
    <row r="53" spans="1:10" s="27" customFormat="1" ht="18" customHeight="1">
      <c r="A53" s="11" t="str">
        <f t="shared" ca="1" si="12"/>
        <v/>
      </c>
      <c r="B53" s="11" t="str">
        <f ca="1">IF(ROWS($1:40)&gt;COUNT(Dong),"",OFFSET(TH!E$1,SMALL(Dong,ROWS($1:40)),))</f>
        <v/>
      </c>
      <c r="C53" s="11" t="str">
        <f ca="1">IF(ROWS($1:40)&gt;COUNT(Dong),"",OFFSET(TH!F$1,SMALL(Dong,ROWS($1:40)),))</f>
        <v/>
      </c>
      <c r="D53" s="95" t="str">
        <f ca="1">IF(ROWS($1:40)&gt;COUNT(Dong),"",OFFSET(TH!G$1,SMALL(Dong,ROWS($1:40)),))</f>
        <v/>
      </c>
      <c r="E53" s="96" t="str">
        <f ca="1">IF(ROWS($1:40)&gt;COUNT(Dong),"",IF(OFFSET(TH!K$1,SMALL(Dong,ROWS($1:40)),)="331",OFFSET(TH!L$1,SMALL(Dong,ROWS($1:40)),),OFFSET(TH!K$1,SMALL(Dong,ROWS($1:40)),)))</f>
        <v/>
      </c>
      <c r="F53" s="96"/>
      <c r="G53" s="115" t="str">
        <f ca="1">IF(ROWS($1:40)&gt;COUNT(Dong),"",IF(OFFSET(TH!K$1,SMALL(Dong,ROWS($1:40)),)="331",OFFSET(TH!J$1,SMALL(Dong,ROWS($1:40)),),0))</f>
        <v/>
      </c>
      <c r="H53" s="115" t="str">
        <f ca="1">IF(ROWS($1:40)&gt;COUNT(Dong),"",IF(OFFSET(TH!L$1,SMALL(Dong,ROWS($1:40)),)="331",OFFSET(TH!J$1,SMALL(Dong,ROWS($1:40)),),0))</f>
        <v/>
      </c>
      <c r="I53" s="34">
        <f t="shared" ca="1" si="13"/>
        <v>0</v>
      </c>
      <c r="J53" s="34">
        <f t="shared" ca="1" si="14"/>
        <v>0</v>
      </c>
    </row>
    <row r="54" spans="1:10" s="27" customFormat="1" ht="18" customHeight="1">
      <c r="A54" s="33"/>
      <c r="B54" s="30"/>
      <c r="C54" s="35"/>
      <c r="D54" s="32" t="s">
        <v>46</v>
      </c>
      <c r="E54" s="30" t="s">
        <v>25</v>
      </c>
      <c r="F54" s="30" t="s">
        <v>25</v>
      </c>
      <c r="G54" s="36">
        <f ca="1">SUM(G14:G53)</f>
        <v>50000000</v>
      </c>
      <c r="H54" s="36">
        <f ca="1">SUM(H14:H53)</f>
        <v>0</v>
      </c>
      <c r="I54" s="36" t="s">
        <v>25</v>
      </c>
      <c r="J54" s="36" t="s">
        <v>25</v>
      </c>
    </row>
    <row r="55" spans="1:10" s="27" customFormat="1" ht="18" customHeight="1">
      <c r="A55" s="33"/>
      <c r="B55" s="30"/>
      <c r="C55" s="30"/>
      <c r="D55" s="32" t="s">
        <v>12</v>
      </c>
      <c r="E55" s="30" t="s">
        <v>25</v>
      </c>
      <c r="F55" s="30" t="s">
        <v>25</v>
      </c>
      <c r="G55" s="36" t="s">
        <v>25</v>
      </c>
      <c r="H55" s="36" t="s">
        <v>25</v>
      </c>
      <c r="I55" s="36">
        <f ca="1">MAX(I13+G54-H54-J13,0)</f>
        <v>50000000</v>
      </c>
      <c r="J55" s="36">
        <f ca="1">MAX(J13+H54-G54-I13,0)</f>
        <v>0</v>
      </c>
    </row>
    <row r="56" spans="1:10" s="27" customFormat="1" ht="14.25" customHeight="1">
      <c r="B56" s="28"/>
      <c r="C56" s="28"/>
      <c r="E56" s="28"/>
    </row>
    <row r="57" spans="1:10" s="27" customFormat="1" ht="14.25" customHeight="1">
      <c r="A57" s="37" t="s">
        <v>47</v>
      </c>
      <c r="B57" s="28"/>
      <c r="C57" s="28"/>
      <c r="E57" s="28"/>
    </row>
    <row r="58" spans="1:10" s="27" customFormat="1" ht="14.25" customHeight="1">
      <c r="A58" s="37" t="s">
        <v>48</v>
      </c>
      <c r="B58" s="28"/>
      <c r="C58" s="28"/>
      <c r="E58" s="28"/>
    </row>
    <row r="59" spans="1:10" s="27" customFormat="1" ht="14.25" customHeight="1">
      <c r="B59" s="28"/>
      <c r="C59" s="28"/>
      <c r="E59" s="516" t="s">
        <v>278</v>
      </c>
      <c r="F59" s="516"/>
      <c r="G59" s="516"/>
      <c r="H59" s="516"/>
      <c r="I59" s="516"/>
      <c r="J59" s="516"/>
    </row>
    <row r="60" spans="1:10" s="27" customFormat="1" ht="14.25" customHeight="1">
      <c r="A60" s="516" t="s">
        <v>13</v>
      </c>
      <c r="B60" s="516"/>
      <c r="C60" s="516"/>
      <c r="D60" s="516"/>
      <c r="E60" s="516" t="s">
        <v>14</v>
      </c>
      <c r="F60" s="516"/>
      <c r="G60" s="516"/>
      <c r="H60" s="516"/>
      <c r="I60" s="516"/>
      <c r="J60" s="516"/>
    </row>
    <row r="61" spans="1:10" s="27" customFormat="1" ht="14.25" customHeight="1">
      <c r="A61" s="516" t="s">
        <v>15</v>
      </c>
      <c r="B61" s="516"/>
      <c r="C61" s="516"/>
      <c r="D61" s="516"/>
      <c r="E61" s="516" t="s">
        <v>15</v>
      </c>
      <c r="F61" s="516"/>
      <c r="G61" s="516"/>
      <c r="H61" s="516"/>
      <c r="I61" s="516"/>
      <c r="J61" s="516"/>
    </row>
    <row r="62" spans="1:10" s="38" customFormat="1"/>
  </sheetData>
  <autoFilter ref="A12:J32"/>
  <mergeCells count="17">
    <mergeCell ref="H1:J1"/>
    <mergeCell ref="H2:J3"/>
    <mergeCell ref="E7:H7"/>
    <mergeCell ref="E59:J59"/>
    <mergeCell ref="C9:J9"/>
    <mergeCell ref="B10:C10"/>
    <mergeCell ref="D10:D11"/>
    <mergeCell ref="E10:E11"/>
    <mergeCell ref="F10:F11"/>
    <mergeCell ref="G10:H10"/>
    <mergeCell ref="I10:J10"/>
    <mergeCell ref="A4:J4"/>
    <mergeCell ref="A60:D60"/>
    <mergeCell ref="E60:J60"/>
    <mergeCell ref="A61:D61"/>
    <mergeCell ref="E61:J61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U60"/>
  <sheetViews>
    <sheetView topLeftCell="B1" workbookViewId="0">
      <pane ySplit="26" topLeftCell="A27" activePane="bottomLeft" state="frozen"/>
      <selection activeCell="B1" sqref="B1:B2"/>
      <selection pane="bottomLeft" activeCell="Q4" sqref="Q4"/>
    </sheetView>
  </sheetViews>
  <sheetFormatPr defaultRowHeight="15"/>
  <cols>
    <col min="1" max="1" width="3.7109375" style="122" customWidth="1"/>
    <col min="2" max="2" width="5.28515625" style="122" customWidth="1"/>
    <col min="3" max="3" width="15.140625" style="122" customWidth="1"/>
    <col min="4" max="4" width="16" style="122" customWidth="1"/>
    <col min="5" max="5" width="3.85546875" style="122" customWidth="1"/>
    <col min="6" max="6" width="6" style="122" customWidth="1"/>
    <col min="7" max="8" width="6.7109375" style="122" customWidth="1"/>
    <col min="9" max="9" width="10.42578125" style="122" customWidth="1"/>
    <col min="10" max="10" width="5.85546875" style="122" customWidth="1"/>
    <col min="11" max="11" width="8.28515625" style="122" customWidth="1"/>
    <col min="12" max="12" width="5" style="122" customWidth="1"/>
    <col min="13" max="13" width="6.42578125" style="122" customWidth="1"/>
    <col min="14" max="14" width="3.140625" style="122" customWidth="1"/>
    <col min="15" max="15" width="6.42578125" style="122" customWidth="1"/>
    <col min="16" max="16" width="5" style="158" customWidth="1"/>
    <col min="17" max="17" width="6.7109375" style="122" customWidth="1"/>
    <col min="18" max="18" width="1.5703125" style="122" customWidth="1"/>
    <col min="19" max="19" width="5" style="122" customWidth="1"/>
    <col min="20" max="20" width="1.5703125" style="122" customWidth="1"/>
    <col min="21" max="21" width="5.5703125" style="122" customWidth="1"/>
  </cols>
  <sheetData>
    <row r="1" spans="1:21" ht="13.5" customHeight="1">
      <c r="B1" s="120" t="s">
        <v>216</v>
      </c>
      <c r="C1" s="131"/>
      <c r="D1" s="121"/>
      <c r="E1" s="121"/>
      <c r="F1" s="121"/>
      <c r="G1" s="121"/>
      <c r="I1" s="123"/>
      <c r="L1" s="124" t="str">
        <f>+IF(LEFT($S$4,1)="T","Mẫu số 01 - TT","Mẫu số 02 - TT")</f>
        <v>Mẫu số 02 - TT</v>
      </c>
      <c r="N1" s="125"/>
      <c r="O1" s="125"/>
      <c r="P1" s="126"/>
      <c r="Q1" s="127"/>
      <c r="R1" s="127"/>
      <c r="S1" s="127"/>
      <c r="T1" s="128"/>
      <c r="U1" s="127"/>
    </row>
    <row r="2" spans="1:21" ht="13.5" customHeight="1">
      <c r="B2" s="131" t="s">
        <v>217</v>
      </c>
      <c r="C2" s="131"/>
      <c r="D2" s="121"/>
      <c r="E2" s="121"/>
      <c r="F2" s="121"/>
      <c r="G2" s="121"/>
      <c r="H2" s="123"/>
      <c r="I2" s="123"/>
      <c r="L2" s="132" t="str">
        <f>IF($Q$4=2015,"(Ban hành theo Thông tư số 200/2014/TT-BTC ","(Ban hành kèm theo QĐ 48/2006/QĐ-BTC")</f>
        <v>(Ban hành kèm theo QĐ 48/2006/QĐ-BTC</v>
      </c>
      <c r="N2" s="133"/>
      <c r="O2" s="133"/>
      <c r="P2" s="126"/>
      <c r="Q2" s="127"/>
      <c r="R2" s="127"/>
      <c r="S2" s="127"/>
      <c r="T2" s="134"/>
      <c r="U2" s="135" t="s">
        <v>203</v>
      </c>
    </row>
    <row r="3" spans="1:21" ht="13.5" customHeight="1">
      <c r="B3" s="131"/>
      <c r="C3" s="121"/>
      <c r="D3" s="121"/>
      <c r="E3" s="121"/>
      <c r="G3" s="121"/>
      <c r="I3" s="136"/>
      <c r="L3" s="132" t="str">
        <f>IF($Q$4=2015,"Ngày 22/12/2014 của Bộ Tài chính)","ngày 24/09/2006 của Bộ trưởng BTC)")</f>
        <v>ngày 24/09/2006 của Bộ trưởng BTC)</v>
      </c>
      <c r="N3" s="133"/>
      <c r="O3" s="133"/>
      <c r="P3" s="137"/>
      <c r="Q3" s="135" t="s">
        <v>219</v>
      </c>
      <c r="R3" s="127"/>
      <c r="S3" s="122" t="s">
        <v>204</v>
      </c>
      <c r="T3" s="134"/>
      <c r="U3" s="135" t="s">
        <v>204</v>
      </c>
    </row>
    <row r="4" spans="1:21" ht="21.75">
      <c r="B4" s="131"/>
      <c r="C4" s="121"/>
      <c r="D4" s="121"/>
      <c r="E4" s="121"/>
      <c r="G4" s="138"/>
      <c r="H4" s="139" t="str">
        <f>IF(LEFT($S$4,1)="T","PHIẾU THU","PHIẾU CHI")</f>
        <v>PHIẾU CHI</v>
      </c>
      <c r="J4" s="138"/>
      <c r="K4" s="140"/>
      <c r="M4" s="140"/>
      <c r="N4" s="140"/>
      <c r="O4" s="140"/>
      <c r="P4" s="141"/>
      <c r="Q4" s="168">
        <v>2014</v>
      </c>
      <c r="R4" s="142"/>
      <c r="S4" s="169" t="s">
        <v>4</v>
      </c>
      <c r="T4" s="170"/>
      <c r="U4" s="171">
        <v>1</v>
      </c>
    </row>
    <row r="5" spans="1:21">
      <c r="B5" s="131"/>
      <c r="C5" s="121"/>
      <c r="D5" s="121"/>
      <c r="E5" s="121"/>
      <c r="G5" s="138"/>
      <c r="H5" s="143" t="str">
        <f>IF(ISNA(VLOOKUP($M$7,TM,4,0)),"","Ngày  "&amp;DAY(VLOOKUP($M$7,TM,4,0))&amp;"  tháng  "&amp;MONTH(VLOOKUP($M$7,TM,4,0))&amp;"  năm  "&amp;YEAR(VLOOKUP($M$7,TM,4,0)))</f>
        <v>Ngày  2  tháng  1  năm  2014</v>
      </c>
      <c r="J5" s="138"/>
      <c r="K5" s="140"/>
      <c r="M5" s="140"/>
      <c r="N5" s="140"/>
      <c r="O5" s="140"/>
      <c r="P5" s="141"/>
      <c r="Q5" s="135"/>
      <c r="T5" s="130"/>
      <c r="U5" s="135"/>
    </row>
    <row r="6" spans="1:21" ht="13.5">
      <c r="A6" s="146"/>
      <c r="B6" s="144"/>
      <c r="C6" s="145"/>
      <c r="D6" s="145"/>
      <c r="E6" s="145"/>
      <c r="F6" s="146"/>
      <c r="G6" s="147"/>
      <c r="H6" s="147"/>
      <c r="I6" s="147"/>
      <c r="J6" s="146"/>
      <c r="K6" s="146"/>
      <c r="L6" s="148" t="s">
        <v>205</v>
      </c>
      <c r="M6" s="146"/>
      <c r="N6" s="146"/>
      <c r="O6" s="149"/>
      <c r="P6" s="150"/>
      <c r="Q6" s="146"/>
      <c r="R6" s="146"/>
      <c r="S6" s="146"/>
      <c r="T6" s="151"/>
      <c r="U6" s="135"/>
    </row>
    <row r="7" spans="1:21" ht="13.5" customHeight="1">
      <c r="A7" s="146"/>
      <c r="B7" s="146"/>
      <c r="C7" s="146"/>
      <c r="D7" s="146"/>
      <c r="E7" s="144"/>
      <c r="F7" s="147"/>
      <c r="G7" s="147"/>
      <c r="H7" s="147"/>
      <c r="I7" s="147"/>
      <c r="J7" s="146"/>
      <c r="K7" s="146"/>
      <c r="L7" s="152" t="str">
        <f>"Số :    "</f>
        <v xml:space="preserve">Số :    </v>
      </c>
      <c r="M7" s="153" t="str">
        <f>$S$4&amp;IF($U$4&gt;=10,$U$4,"0"&amp;$U$4)</f>
        <v>C01</v>
      </c>
      <c r="N7" s="149"/>
      <c r="O7" s="149"/>
      <c r="P7" s="150"/>
      <c r="Q7" s="146"/>
      <c r="R7" s="146"/>
      <c r="S7" s="146"/>
      <c r="T7" s="146"/>
      <c r="U7" s="146"/>
    </row>
    <row r="8" spans="1:21" ht="13.5">
      <c r="A8" s="146"/>
      <c r="B8" s="146"/>
      <c r="C8" s="146"/>
      <c r="D8" s="146"/>
      <c r="E8" s="144"/>
      <c r="F8" s="144"/>
      <c r="G8" s="144"/>
      <c r="H8" s="144"/>
      <c r="I8" s="144"/>
      <c r="J8" s="146"/>
      <c r="K8" s="154"/>
      <c r="L8" s="148" t="s">
        <v>206</v>
      </c>
      <c r="M8" s="155" t="str">
        <f>IF($S$4="T","1111",IF($S$4="C",IF(ISNA(VLOOKUP($M$7,TM,12,0)),"",VLOOKUP($M$7,TM,11,0)),""))</f>
        <v>3388</v>
      </c>
      <c r="N8" s="149"/>
      <c r="O8" s="149"/>
      <c r="P8" s="156"/>
      <c r="Q8" s="146"/>
      <c r="R8" s="146"/>
      <c r="S8" s="146"/>
      <c r="T8" s="146"/>
      <c r="U8" s="146"/>
    </row>
    <row r="9" spans="1:21" ht="13.5">
      <c r="A9" s="146"/>
      <c r="B9" s="146"/>
      <c r="C9" s="146"/>
      <c r="D9" s="146"/>
      <c r="E9" s="144"/>
      <c r="F9" s="144"/>
      <c r="G9" s="144"/>
      <c r="H9" s="144"/>
      <c r="I9" s="144"/>
      <c r="J9" s="146"/>
      <c r="K9" s="154"/>
      <c r="L9" s="152" t="s">
        <v>207</v>
      </c>
      <c r="M9" s="155" t="str">
        <f>IF($S$4="C","1111",IF($S$4="T",IF(ISNA(VLOOKUP($M$7,TM,11,0)),"",VLOOKUP($M$7,TM,12,0)),""))</f>
        <v>1111</v>
      </c>
      <c r="N9" s="149"/>
      <c r="O9" s="149"/>
      <c r="P9" s="156"/>
      <c r="Q9" s="146"/>
      <c r="R9" s="146"/>
      <c r="S9" s="146"/>
      <c r="T9" s="146"/>
      <c r="U9" s="146"/>
    </row>
    <row r="10" spans="1:21">
      <c r="A10" s="146"/>
      <c r="B10" s="146"/>
      <c r="C10" s="157" t="str">
        <f>IF($S$4="T","Họ tên người nộp tiền :","Họ và tên người nhận tiền :")&amp;" "&amp;IF(ISNA(VLOOKUP($M$7,TM,9,0)),"",VLOOKUP($M$7,TM,9,0))</f>
        <v>Họ và tên người nhận tiền : Cty TNHH Hải Sản An Lạc - Long An</v>
      </c>
      <c r="D10" s="144"/>
      <c r="E10" s="146"/>
      <c r="F10" s="144"/>
      <c r="G10" s="144"/>
      <c r="H10" s="144"/>
      <c r="I10" s="144"/>
      <c r="J10" s="146"/>
      <c r="K10" s="144"/>
      <c r="L10" s="152"/>
      <c r="M10" s="155"/>
      <c r="N10" s="149"/>
      <c r="O10" s="144"/>
      <c r="P10" s="150"/>
      <c r="Q10" s="146"/>
      <c r="R10" s="146"/>
      <c r="S10" s="146"/>
      <c r="T10" s="146"/>
      <c r="U10" s="146"/>
    </row>
    <row r="11" spans="1:21">
      <c r="C11" s="157" t="str">
        <f>"Địa chỉ :"</f>
        <v>Địa chỉ :</v>
      </c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37"/>
    </row>
    <row r="12" spans="1:21">
      <c r="C12" s="157" t="str">
        <f>IF($S$4="T","Lý do nộp :","Lý do chi :")&amp;" "&amp;IF(ISNA(VLOOKUP($M$7,TM,7,0)),"",VLOOKUP($M$7,TM,7,0))</f>
        <v>Lý do chi : Hoàn trả tiền mượn chuyển khoản</v>
      </c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</row>
    <row r="13" spans="1:21">
      <c r="C13" s="122" t="s">
        <v>224</v>
      </c>
      <c r="D13" s="159">
        <f ca="1">SUMIF(TM,$M$7,TH)</f>
        <v>58000000</v>
      </c>
      <c r="E13" s="122" t="s">
        <v>208</v>
      </c>
      <c r="F13" s="159"/>
      <c r="G13" s="159"/>
      <c r="P13" s="122"/>
    </row>
    <row r="14" spans="1:21">
      <c r="C14" s="122" t="str">
        <f ca="1">"Viết bằng chữ: " &amp;[1]!VND('IN - TC'!D13, TRUE)</f>
        <v>Viết bằng chữ: Năm mươi tám triệu đồng</v>
      </c>
      <c r="P14" s="137"/>
    </row>
    <row r="15" spans="1:21">
      <c r="C15" s="157" t="str">
        <f>"Kèm theo :     " &amp;IF(OR(ISNA(VLOOKUP($M$7,TM,8,0)),VLOOKUP($M$7,TM,8,0)=""),"                           ","    HĐ  "&amp;(VLOOKUP($M$7,TM,8,0))) &amp; "     chứng từ gốc. "</f>
        <v xml:space="preserve">Kèm theo :                                     chứng từ gốc. </v>
      </c>
      <c r="D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60"/>
    </row>
    <row r="16" spans="1:21">
      <c r="K16" s="161"/>
      <c r="L16" s="161"/>
      <c r="M16" s="179" t="str">
        <f>H5</f>
        <v>Ngày  2  tháng  1  năm  2014</v>
      </c>
      <c r="N16" s="161"/>
      <c r="O16" s="161"/>
      <c r="P16" s="122"/>
    </row>
    <row r="17" spans="1:21">
      <c r="C17" s="162" t="s">
        <v>209</v>
      </c>
      <c r="D17" s="163"/>
      <c r="E17" s="162" t="s">
        <v>14</v>
      </c>
      <c r="F17" s="163"/>
      <c r="G17" s="163"/>
      <c r="H17" s="162" t="str">
        <f>IF($S$4="C","Thủ quỹ","Người nộp tiền")</f>
        <v>Thủ quỹ</v>
      </c>
      <c r="J17" s="162" t="s">
        <v>210</v>
      </c>
      <c r="K17" s="163"/>
      <c r="M17" s="164" t="str">
        <f>IF($S$4="T","Thủ quỹ","Người nhận tiền")</f>
        <v>Người nhận tiền</v>
      </c>
      <c r="N17" s="165"/>
      <c r="O17" s="165"/>
      <c r="P17" s="122"/>
    </row>
    <row r="18" spans="1:21">
      <c r="A18" s="163"/>
      <c r="B18" s="163"/>
      <c r="C18" s="166" t="s">
        <v>211</v>
      </c>
      <c r="E18" s="166" t="s">
        <v>212</v>
      </c>
      <c r="H18" s="166" t="s">
        <v>212</v>
      </c>
      <c r="I18" s="163"/>
      <c r="J18" s="166" t="s">
        <v>212</v>
      </c>
      <c r="L18" s="163"/>
      <c r="M18" s="166" t="s">
        <v>212</v>
      </c>
      <c r="P18" s="163"/>
      <c r="Q18" s="163"/>
      <c r="R18" s="163"/>
      <c r="S18" s="163"/>
      <c r="T18" s="163"/>
      <c r="U18" s="163"/>
    </row>
    <row r="19" spans="1:21">
      <c r="P19" s="122"/>
    </row>
    <row r="20" spans="1:21">
      <c r="P20" s="122"/>
    </row>
    <row r="21" spans="1:21">
      <c r="P21" s="122"/>
    </row>
    <row r="22" spans="1:21">
      <c r="I22" s="129"/>
      <c r="P22" s="122"/>
    </row>
    <row r="23" spans="1:21">
      <c r="P23" s="122"/>
    </row>
    <row r="24" spans="1:21">
      <c r="B24" s="122" t="s">
        <v>213</v>
      </c>
      <c r="P24" s="122"/>
    </row>
    <row r="25" spans="1:21">
      <c r="B25" s="157"/>
      <c r="C25" s="157" t="s">
        <v>214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22"/>
    </row>
    <row r="26" spans="1:21">
      <c r="B26" s="157"/>
      <c r="C26" s="157" t="s">
        <v>215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22"/>
    </row>
    <row r="45" spans="5:5">
      <c r="E45" s="167"/>
    </row>
    <row r="46" spans="5:5">
      <c r="E46" s="167"/>
    </row>
    <row r="47" spans="5:5">
      <c r="E47" s="167"/>
    </row>
    <row r="48" spans="5:5">
      <c r="E48" s="167"/>
    </row>
    <row r="49" spans="5:5">
      <c r="E49" s="167"/>
    </row>
    <row r="50" spans="5:5">
      <c r="E50" s="167"/>
    </row>
    <row r="51" spans="5:5">
      <c r="E51" s="167"/>
    </row>
    <row r="52" spans="5:5">
      <c r="E52" s="167"/>
    </row>
    <row r="53" spans="5:5">
      <c r="E53" s="167"/>
    </row>
    <row r="54" spans="5:5">
      <c r="E54" s="167"/>
    </row>
    <row r="55" spans="5:5">
      <c r="E55" s="167"/>
    </row>
    <row r="56" spans="5:5">
      <c r="E56" s="167"/>
    </row>
    <row r="57" spans="5:5">
      <c r="E57" s="167"/>
    </row>
    <row r="58" spans="5:5">
      <c r="E58" s="167"/>
    </row>
    <row r="59" spans="5:5">
      <c r="E59" s="167"/>
    </row>
    <row r="60" spans="5:5">
      <c r="E60" s="167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3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S4">
      <formula1>"T,C"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P35"/>
  <sheetViews>
    <sheetView topLeftCell="A8" zoomScale="90" workbookViewId="0">
      <pane ySplit="4" topLeftCell="A12" activePane="bottomLeft" state="frozen"/>
      <selection activeCell="B1" sqref="B1:B2"/>
      <selection pane="bottomLeft" activeCell="I28" sqref="I28"/>
    </sheetView>
  </sheetViews>
  <sheetFormatPr defaultRowHeight="15"/>
  <cols>
    <col min="1" max="1" width="10.7109375" style="192" customWidth="1"/>
    <col min="2" max="2" width="11.5703125" style="192" customWidth="1"/>
    <col min="3" max="4" width="7.85546875" style="192" customWidth="1"/>
    <col min="5" max="5" width="34.5703125" style="192" customWidth="1"/>
    <col min="6" max="6" width="6.85546875" style="192" customWidth="1"/>
    <col min="7" max="7" width="16" style="192" customWidth="1"/>
    <col min="8" max="8" width="16.28515625" style="192" customWidth="1"/>
    <col min="9" max="9" width="15.85546875" style="192" customWidth="1"/>
    <col min="10" max="10" width="8.42578125" style="192" customWidth="1"/>
    <col min="11" max="11" width="2.140625" style="192" customWidth="1"/>
    <col min="12" max="12" width="10" style="192" customWidth="1"/>
    <col min="13" max="13" width="3.28515625" style="192" hidden="1" customWidth="1"/>
    <col min="14" max="15" width="5" style="192" hidden="1" customWidth="1"/>
    <col min="16" max="16" width="9.140625" style="192" hidden="1" customWidth="1"/>
    <col min="17" max="16384" width="9.140625" style="192"/>
  </cols>
  <sheetData>
    <row r="1" spans="1:15" s="3" customFormat="1" ht="16.5" customHeight="1">
      <c r="A1" s="219" t="s">
        <v>216</v>
      </c>
      <c r="B1" s="2"/>
      <c r="C1" s="2"/>
      <c r="D1" s="2"/>
      <c r="E1" s="2"/>
      <c r="G1" s="526" t="s">
        <v>228</v>
      </c>
      <c r="H1" s="526"/>
      <c r="I1" s="526"/>
      <c r="J1" s="526"/>
    </row>
    <row r="2" spans="1:15" s="3" customFormat="1" ht="16.5" customHeight="1">
      <c r="A2" s="157" t="s">
        <v>217</v>
      </c>
      <c r="B2" s="25"/>
      <c r="C2" s="25"/>
      <c r="D2" s="25"/>
      <c r="E2" s="25"/>
      <c r="G2" s="527" t="s">
        <v>229</v>
      </c>
      <c r="H2" s="527"/>
      <c r="I2" s="527"/>
      <c r="J2" s="527"/>
    </row>
    <row r="3" spans="1:15" s="3" customFormat="1" ht="16.5" customHeight="1">
      <c r="A3" s="4"/>
      <c r="B3" s="25"/>
      <c r="C3" s="190"/>
      <c r="D3" s="190"/>
      <c r="E3" s="25"/>
      <c r="G3" s="527"/>
      <c r="H3" s="527"/>
      <c r="I3" s="527"/>
      <c r="J3" s="527"/>
    </row>
    <row r="4" spans="1:15" s="3" customFormat="1" ht="6.75" customHeight="1">
      <c r="A4" s="25"/>
      <c r="B4" s="25"/>
      <c r="C4" s="25"/>
      <c r="D4" s="25"/>
      <c r="E4" s="25"/>
      <c r="G4" s="191"/>
      <c r="H4" s="191"/>
      <c r="I4" s="191"/>
      <c r="J4" s="191"/>
    </row>
    <row r="5" spans="1:15" ht="24.75" customHeight="1">
      <c r="A5" s="528" t="s">
        <v>230</v>
      </c>
      <c r="B5" s="528"/>
      <c r="C5" s="528"/>
      <c r="D5" s="528"/>
      <c r="E5" s="528"/>
      <c r="F5" s="528"/>
      <c r="G5" s="528"/>
      <c r="H5" s="528"/>
      <c r="I5" s="528"/>
      <c r="J5" s="528"/>
    </row>
    <row r="6" spans="1:15">
      <c r="A6" s="529" t="s">
        <v>231</v>
      </c>
      <c r="B6" s="529"/>
      <c r="C6" s="529"/>
      <c r="D6" s="529"/>
      <c r="E6" s="529"/>
      <c r="F6" s="529"/>
      <c r="G6" s="529"/>
      <c r="H6" s="529"/>
      <c r="I6" s="529"/>
      <c r="J6" s="529"/>
    </row>
    <row r="7" spans="1:15">
      <c r="A7" s="529" t="s">
        <v>232</v>
      </c>
      <c r="B7" s="529"/>
      <c r="C7" s="529"/>
      <c r="D7" s="529"/>
      <c r="E7" s="529"/>
      <c r="F7" s="529"/>
      <c r="G7" s="529"/>
      <c r="H7" s="529"/>
      <c r="I7" s="529"/>
      <c r="J7" s="529"/>
    </row>
    <row r="8" spans="1:15">
      <c r="A8" s="193"/>
      <c r="I8" s="193" t="s">
        <v>233</v>
      </c>
    </row>
    <row r="9" spans="1:15" ht="27.75" customHeight="1" thickBot="1">
      <c r="A9" s="530" t="s">
        <v>30</v>
      </c>
      <c r="B9" s="530" t="s">
        <v>234</v>
      </c>
      <c r="C9" s="532" t="s">
        <v>235</v>
      </c>
      <c r="D9" s="532"/>
      <c r="E9" s="532" t="s">
        <v>0</v>
      </c>
      <c r="F9" s="530" t="s">
        <v>18</v>
      </c>
      <c r="G9" s="532" t="s">
        <v>31</v>
      </c>
      <c r="H9" s="532"/>
      <c r="I9" s="532" t="s">
        <v>236</v>
      </c>
      <c r="J9" s="532" t="s">
        <v>237</v>
      </c>
      <c r="L9" s="220"/>
      <c r="N9" s="529" t="s">
        <v>247</v>
      </c>
      <c r="O9" s="529"/>
    </row>
    <row r="10" spans="1:15" ht="24" customHeight="1" thickBot="1">
      <c r="A10" s="531"/>
      <c r="B10" s="531"/>
      <c r="C10" s="194" t="s">
        <v>238</v>
      </c>
      <c r="D10" s="194" t="s">
        <v>239</v>
      </c>
      <c r="E10" s="532"/>
      <c r="F10" s="531"/>
      <c r="G10" s="194" t="s">
        <v>32</v>
      </c>
      <c r="H10" s="194" t="s">
        <v>33</v>
      </c>
      <c r="I10" s="532"/>
      <c r="J10" s="532"/>
      <c r="L10" s="269" t="s">
        <v>264</v>
      </c>
      <c r="N10" s="270">
        <f>IF(L10="Quý I",1,IF(L10="Quý II",4,IF(L10="Quý III",7,IF(L10="Quý IV",10,""))))</f>
        <v>10</v>
      </c>
      <c r="O10" s="271">
        <f>IF(L10="Quý I",3,IF(L10="Quý II",6,IF(L10="Quý III",9,IF(L10="Quý IV",12,""))))</f>
        <v>12</v>
      </c>
    </row>
    <row r="11" spans="1:15" s="195" customFormat="1" ht="11.25" customHeight="1">
      <c r="A11" s="196" t="s">
        <v>2</v>
      </c>
      <c r="B11" s="196" t="s">
        <v>3</v>
      </c>
      <c r="C11" s="196" t="s">
        <v>4</v>
      </c>
      <c r="D11" s="196" t="s">
        <v>5</v>
      </c>
      <c r="E11" s="196" t="s">
        <v>6</v>
      </c>
      <c r="F11" s="196" t="s">
        <v>240</v>
      </c>
      <c r="G11" s="196">
        <v>1</v>
      </c>
      <c r="H11" s="196">
        <v>2</v>
      </c>
      <c r="I11" s="196">
        <v>3</v>
      </c>
      <c r="J11" s="196" t="s">
        <v>241</v>
      </c>
    </row>
    <row r="12" spans="1:15" s="197" customFormat="1" ht="17.25" customHeight="1">
      <c r="A12" s="198"/>
      <c r="B12" s="198"/>
      <c r="C12" s="198"/>
      <c r="D12" s="198"/>
      <c r="E12" s="198" t="s">
        <v>242</v>
      </c>
      <c r="F12" s="199"/>
      <c r="G12" s="200"/>
      <c r="H12" s="198"/>
      <c r="I12" s="221">
        <f>IF($L$10="All",CDPS!$C$10,CDPS!$C$10+SUMIF(_N111,"x",TH)-SUMIF(_C111,"x",TH))</f>
        <v>1800943500</v>
      </c>
      <c r="J12" s="198"/>
    </row>
    <row r="13" spans="1:15" ht="17.25" customHeight="1">
      <c r="A13" s="201">
        <f ca="1">IF(ROWS($1:1)&gt;COUNT(Dong1),"",OFFSET(TH!D$1,SMALL(Dong1,ROWS($1:1)),))</f>
        <v>41929</v>
      </c>
      <c r="B13" s="201">
        <f ca="1">IF(ROWS($1:1)&gt;COUNT(Dong1),"",OFFSET(TH!F$1,SMALL(Dong1,ROWS($1:1)),))</f>
        <v>41929</v>
      </c>
      <c r="C13" s="202" t="str">
        <f ca="1">IF(ROWS($1:1)&gt;COUNT(Dong1),"",IF(OFFSET(TH!K$1,SMALL(Dong1,ROWS($1:1)),)="1111",OFFSET(TH!E$1,SMALL(Dong1,ROWS($1:1)),),""))</f>
        <v/>
      </c>
      <c r="D13" s="203" t="str">
        <f ca="1">IF(ROWS($1:1)&gt;COUNT(Dong1),"",IF(OFFSET(TH!L$1,SMALL(Dong1,ROWS($1:1)),)="1111",OFFSET(TH!E$1,SMALL(Dong1,ROWS($1:1)),),""))</f>
        <v>C16</v>
      </c>
      <c r="E13" s="204" t="str">
        <f ca="1">IF(ROWS($1:1)&gt;COUNT(Dong1),"",OFFSET(TH!G$1,SMALL(Dong1,ROWS($1:1)),))</f>
        <v>Hoàn trả tiền mượn chuyển khoản</v>
      </c>
      <c r="F13" s="205" t="str">
        <f ca="1">IF(ROWS($1:1)&gt;COUNT(Dong1),"",IF(OFFSET(TH!L$1,SMALL(Dong1,ROWS($1:1)),)="1111",OFFSET(TH!K$1,SMALL(Dong1,ROWS($1:1)),),OFFSET(TH!L$1,SMALL(Dong1,ROWS($1:1)),)))</f>
        <v>3388</v>
      </c>
      <c r="G13" s="206">
        <f ca="1">IF(ROWS($1:1)&gt;COUNT(Dong1),"",IF(OFFSET(TH!K$1,SMALL(Dong1,ROWS($1:1)),)="1111",OFFSET(TH!J$1,SMALL(Dong1,ROWS($1:1)),),0))</f>
        <v>0</v>
      </c>
      <c r="H13" s="204">
        <f ca="1">IF(ROWS($1:1)&gt;COUNT(Dong1),"",IF(OFFSET(TH!L$1,SMALL(Dong1,ROWS($1:1)),)="1111",OFFSET(TH!J$1,SMALL(Dong1,ROWS($1:1)),),0))</f>
        <v>25000000</v>
      </c>
      <c r="I13" s="202">
        <f t="shared" ref="I13:I21" ca="1" si="0">IF(E13&lt;&gt;"",I12+G13-H13,0)</f>
        <v>1775943500</v>
      </c>
      <c r="J13" s="207"/>
    </row>
    <row r="14" spans="1:15" ht="17.25" customHeight="1">
      <c r="A14" s="201">
        <f ca="1">IF(ROWS($1:2)&gt;COUNT(Dong1),"",OFFSET(TH!D$1,SMALL(Dong1,ROWS($1:2)),))</f>
        <v>41949</v>
      </c>
      <c r="B14" s="201">
        <f ca="1">IF(ROWS($1:2)&gt;COUNT(Dong1),"",OFFSET(TH!F$1,SMALL(Dong1,ROWS($1:2)),))</f>
        <v>41949</v>
      </c>
      <c r="C14" s="202" t="str">
        <f ca="1">IF(ROWS($1:2)&gt;COUNT(Dong1),"",IF(OFFSET(TH!K$1,SMALL(Dong1,ROWS($1:2)),)="1111",OFFSET(TH!E$1,SMALL(Dong1,ROWS($1:2)),),""))</f>
        <v/>
      </c>
      <c r="D14" s="203" t="str">
        <f ca="1">IF(ROWS($1:2)&gt;COUNT(Dong1),"",IF(OFFSET(TH!L$1,SMALL(Dong1,ROWS($1:2)),)="1111",OFFSET(TH!E$1,SMALL(Dong1,ROWS($1:2)),),""))</f>
        <v>C17</v>
      </c>
      <c r="E14" s="204" t="str">
        <f ca="1">IF(ROWS($1:2)&gt;COUNT(Dong1),"",OFFSET(TH!G$1,SMALL(Dong1,ROWS($1:2)),))</f>
        <v>Đăng kí chữ ký số</v>
      </c>
      <c r="F14" s="205" t="str">
        <f ca="1">IF(ROWS($1:2)&gt;COUNT(Dong1),"",IF(OFFSET(TH!L$1,SMALL(Dong1,ROWS($1:2)),)="1111",OFFSET(TH!K$1,SMALL(Dong1,ROWS($1:2)),),OFFSET(TH!L$1,SMALL(Dong1,ROWS($1:2)),)))</f>
        <v>642</v>
      </c>
      <c r="G14" s="206">
        <f ca="1">IF(ROWS($1:2)&gt;COUNT(Dong1),"",IF(OFFSET(TH!K$1,SMALL(Dong1,ROWS($1:2)),)="1111",OFFSET(TH!J$1,SMALL(Dong1,ROWS($1:2)),),0))</f>
        <v>0</v>
      </c>
      <c r="H14" s="204">
        <f ca="1">IF(ROWS($1:2)&gt;COUNT(Dong1),"",IF(OFFSET(TH!L$1,SMALL(Dong1,ROWS($1:2)),)="1111",OFFSET(TH!J$1,SMALL(Dong1,ROWS($1:2)),),0))</f>
        <v>2160000</v>
      </c>
      <c r="I14" s="202">
        <f t="shared" ca="1" si="0"/>
        <v>1773783500</v>
      </c>
      <c r="J14" s="207"/>
    </row>
    <row r="15" spans="1:15" ht="17.25" customHeight="1">
      <c r="A15" s="201">
        <f ca="1">IF(ROWS($1:3)&gt;COUNT(Dong1),"",OFFSET(TH!D$1,SMALL(Dong1,ROWS($1:3)),))</f>
        <v>41949</v>
      </c>
      <c r="B15" s="201">
        <f ca="1">IF(ROWS($1:3)&gt;COUNT(Dong1),"",OFFSET(TH!F$1,SMALL(Dong1,ROWS($1:3)),))</f>
        <v>41949</v>
      </c>
      <c r="C15" s="202" t="str">
        <f ca="1">IF(ROWS($1:3)&gt;COUNT(Dong1),"",IF(OFFSET(TH!K$1,SMALL(Dong1,ROWS($1:3)),)="1111",OFFSET(TH!E$1,SMALL(Dong1,ROWS($1:3)),),""))</f>
        <v/>
      </c>
      <c r="D15" s="203" t="str">
        <f ca="1">IF(ROWS($1:3)&gt;COUNT(Dong1),"",IF(OFFSET(TH!L$1,SMALL(Dong1,ROWS($1:3)),)="1111",OFFSET(TH!E$1,SMALL(Dong1,ROWS($1:3)),),""))</f>
        <v>C17</v>
      </c>
      <c r="E15" s="204" t="str">
        <f ca="1">IF(ROWS($1:3)&gt;COUNT(Dong1),"",OFFSET(TH!G$1,SMALL(Dong1,ROWS($1:3)),))</f>
        <v>VAT Đăng kí chữ ký số</v>
      </c>
      <c r="F15" s="205" t="str">
        <f ca="1">IF(ROWS($1:3)&gt;COUNT(Dong1),"",IF(OFFSET(TH!L$1,SMALL(Dong1,ROWS($1:3)),)="1111",OFFSET(TH!K$1,SMALL(Dong1,ROWS($1:3)),),OFFSET(TH!L$1,SMALL(Dong1,ROWS($1:3)),)))</f>
        <v>1331</v>
      </c>
      <c r="G15" s="206">
        <f ca="1">IF(ROWS($1:3)&gt;COUNT(Dong1),"",IF(OFFSET(TH!K$1,SMALL(Dong1,ROWS($1:3)),)="1111",OFFSET(TH!J$1,SMALL(Dong1,ROWS($1:3)),),0))</f>
        <v>0</v>
      </c>
      <c r="H15" s="204">
        <f ca="1">IF(ROWS($1:3)&gt;COUNT(Dong1),"",IF(OFFSET(TH!L$1,SMALL(Dong1,ROWS($1:3)),)="1111",OFFSET(TH!J$1,SMALL(Dong1,ROWS($1:3)),),0))</f>
        <v>216000</v>
      </c>
      <c r="I15" s="202">
        <f t="shared" ca="1" si="0"/>
        <v>1773567500</v>
      </c>
      <c r="J15" s="207"/>
    </row>
    <row r="16" spans="1:15" ht="17.25" customHeight="1">
      <c r="A16" s="201">
        <f ca="1">IF(ROWS($1:4)&gt;COUNT(Dong1),"",OFFSET(TH!D$1,SMALL(Dong1,ROWS($1:4)),))</f>
        <v>41963</v>
      </c>
      <c r="B16" s="201">
        <f ca="1">IF(ROWS($1:4)&gt;COUNT(Dong1),"",OFFSET(TH!F$1,SMALL(Dong1,ROWS($1:4)),))</f>
        <v>41963</v>
      </c>
      <c r="C16" s="202" t="str">
        <f ca="1">IF(ROWS($1:4)&gt;COUNT(Dong1),"",IF(OFFSET(TH!K$1,SMALL(Dong1,ROWS($1:4)),)="1111",OFFSET(TH!E$1,SMALL(Dong1,ROWS($1:4)),),""))</f>
        <v/>
      </c>
      <c r="D16" s="203" t="str">
        <f ca="1">IF(ROWS($1:4)&gt;COUNT(Dong1),"",IF(OFFSET(TH!L$1,SMALL(Dong1,ROWS($1:4)),)="1111",OFFSET(TH!E$1,SMALL(Dong1,ROWS($1:4)),),""))</f>
        <v>C18</v>
      </c>
      <c r="E16" s="204" t="str">
        <f ca="1">IF(ROWS($1:4)&gt;COUNT(Dong1),"",OFFSET(TH!G$1,SMALL(Dong1,ROWS($1:4)),))</f>
        <v>Hoàn trả tiền mượn chuyển khoản</v>
      </c>
      <c r="F16" s="205" t="str">
        <f ca="1">IF(ROWS($1:4)&gt;COUNT(Dong1),"",IF(OFFSET(TH!L$1,SMALL(Dong1,ROWS($1:4)),)="1111",OFFSET(TH!K$1,SMALL(Dong1,ROWS($1:4)),),OFFSET(TH!L$1,SMALL(Dong1,ROWS($1:4)),)))</f>
        <v>3388</v>
      </c>
      <c r="G16" s="206">
        <f ca="1">IF(ROWS($1:4)&gt;COUNT(Dong1),"",IF(OFFSET(TH!K$1,SMALL(Dong1,ROWS($1:4)),)="1111",OFFSET(TH!J$1,SMALL(Dong1,ROWS($1:4)),),0))</f>
        <v>0</v>
      </c>
      <c r="H16" s="204">
        <f ca="1">IF(ROWS($1:4)&gt;COUNT(Dong1),"",IF(OFFSET(TH!L$1,SMALL(Dong1,ROWS($1:4)),)="1111",OFFSET(TH!J$1,SMALL(Dong1,ROWS($1:4)),),0))</f>
        <v>40500000</v>
      </c>
      <c r="I16" s="202">
        <f t="shared" ca="1" si="0"/>
        <v>1733067500</v>
      </c>
      <c r="J16" s="207"/>
    </row>
    <row r="17" spans="1:10" ht="17.25" customHeight="1">
      <c r="A17" s="201">
        <f ca="1">IF(ROWS($1:5)&gt;COUNT(Dong1),"",OFFSET(TH!D$1,SMALL(Dong1,ROWS($1:5)),))</f>
        <v>41993</v>
      </c>
      <c r="B17" s="201">
        <f ca="1">IF(ROWS($1:5)&gt;COUNT(Dong1),"",OFFSET(TH!F$1,SMALL(Dong1,ROWS($1:5)),))</f>
        <v>41993</v>
      </c>
      <c r="C17" s="202" t="str">
        <f ca="1">IF(ROWS($1:5)&gt;COUNT(Dong1),"",IF(OFFSET(TH!K$1,SMALL(Dong1,ROWS($1:5)),)="1111",OFFSET(TH!E$1,SMALL(Dong1,ROWS($1:5)),),""))</f>
        <v/>
      </c>
      <c r="D17" s="203" t="str">
        <f ca="1">IF(ROWS($1:5)&gt;COUNT(Dong1),"",IF(OFFSET(TH!L$1,SMALL(Dong1,ROWS($1:5)),)="1111",OFFSET(TH!E$1,SMALL(Dong1,ROWS($1:5)),),""))</f>
        <v>C19</v>
      </c>
      <c r="E17" s="204" t="str">
        <f ca="1">IF(ROWS($1:5)&gt;COUNT(Dong1),"",OFFSET(TH!G$1,SMALL(Dong1,ROWS($1:5)),))</f>
        <v>Nộp tiền mặt vào tài khoản ngân hàng</v>
      </c>
      <c r="F17" s="205" t="str">
        <f ca="1">IF(ROWS($1:5)&gt;COUNT(Dong1),"",IF(OFFSET(TH!L$1,SMALL(Dong1,ROWS($1:5)),)="1111",OFFSET(TH!K$1,SMALL(Dong1,ROWS($1:5)),),OFFSET(TH!L$1,SMALL(Dong1,ROWS($1:5)),)))</f>
        <v>1121</v>
      </c>
      <c r="G17" s="206">
        <f ca="1">IF(ROWS($1:5)&gt;COUNT(Dong1),"",IF(OFFSET(TH!K$1,SMALL(Dong1,ROWS($1:5)),)="1111",OFFSET(TH!J$1,SMALL(Dong1,ROWS($1:5)),),0))</f>
        <v>0</v>
      </c>
      <c r="H17" s="204">
        <f ca="1">IF(ROWS($1:5)&gt;COUNT(Dong1),"",IF(OFFSET(TH!L$1,SMALL(Dong1,ROWS($1:5)),)="1111",OFFSET(TH!J$1,SMALL(Dong1,ROWS($1:5)),),0))</f>
        <v>51000000</v>
      </c>
      <c r="I17" s="202">
        <f t="shared" ca="1" si="0"/>
        <v>1682067500</v>
      </c>
      <c r="J17" s="207"/>
    </row>
    <row r="18" spans="1:10" ht="17.25" customHeight="1">
      <c r="A18" s="201">
        <f ca="1">IF(ROWS($1:6)&gt;COUNT(Dong1),"",OFFSET(TH!D$1,SMALL(Dong1,ROWS($1:6)),))</f>
        <v>42003</v>
      </c>
      <c r="B18" s="201">
        <f ca="1">IF(ROWS($1:6)&gt;COUNT(Dong1),"",OFFSET(TH!F$1,SMALL(Dong1,ROWS($1:6)),))</f>
        <v>42003</v>
      </c>
      <c r="C18" s="202" t="str">
        <f ca="1">IF(ROWS($1:6)&gt;COUNT(Dong1),"",IF(OFFSET(TH!K$1,SMALL(Dong1,ROWS($1:6)),)="1111",OFFSET(TH!E$1,SMALL(Dong1,ROWS($1:6)),),""))</f>
        <v/>
      </c>
      <c r="D18" s="203" t="str">
        <f ca="1">IF(ROWS($1:6)&gt;COUNT(Dong1),"",IF(OFFSET(TH!L$1,SMALL(Dong1,ROWS($1:6)),)="1111",OFFSET(TH!E$1,SMALL(Dong1,ROWS($1:6)),),""))</f>
        <v>C20</v>
      </c>
      <c r="E18" s="204" t="str">
        <f ca="1">IF(ROWS($1:6)&gt;COUNT(Dong1),"",OFFSET(TH!G$1,SMALL(Dong1,ROWS($1:6)),))</f>
        <v>Nộp tiền mặt vào tài khoản ngân hàng</v>
      </c>
      <c r="F18" s="205" t="str">
        <f ca="1">IF(ROWS($1:6)&gt;COUNT(Dong1),"",IF(OFFSET(TH!L$1,SMALL(Dong1,ROWS($1:6)),)="1111",OFFSET(TH!K$1,SMALL(Dong1,ROWS($1:6)),),OFFSET(TH!L$1,SMALL(Dong1,ROWS($1:6)),)))</f>
        <v>1121</v>
      </c>
      <c r="G18" s="206">
        <f ca="1">IF(ROWS($1:6)&gt;COUNT(Dong1),"",IF(OFFSET(TH!K$1,SMALL(Dong1,ROWS($1:6)),)="1111",OFFSET(TH!J$1,SMALL(Dong1,ROWS($1:6)),),0))</f>
        <v>0</v>
      </c>
      <c r="H18" s="204">
        <f ca="1">IF(ROWS($1:6)&gt;COUNT(Dong1),"",IF(OFFSET(TH!L$1,SMALL(Dong1,ROWS($1:6)),)="1111",OFFSET(TH!J$1,SMALL(Dong1,ROWS($1:6)),),0))</f>
        <v>1000000</v>
      </c>
      <c r="I18" s="202">
        <f t="shared" ca="1" si="0"/>
        <v>1681067500</v>
      </c>
      <c r="J18" s="207"/>
    </row>
    <row r="19" spans="1:10" ht="17.25" customHeight="1">
      <c r="A19" s="201" t="str">
        <f ca="1">IF(ROWS($1:7)&gt;COUNT(Dong1),"",OFFSET(TH!D$1,SMALL(Dong1,ROWS($1:7)),))</f>
        <v/>
      </c>
      <c r="B19" s="201" t="str">
        <f ca="1">IF(ROWS($1:7)&gt;COUNT(Dong1),"",OFFSET(TH!F$1,SMALL(Dong1,ROWS($1:7)),))</f>
        <v/>
      </c>
      <c r="C19" s="202" t="str">
        <f ca="1">IF(ROWS($1:7)&gt;COUNT(Dong1),"",IF(OFFSET(TH!K$1,SMALL(Dong1,ROWS($1:7)),)="1111",OFFSET(TH!E$1,SMALL(Dong1,ROWS($1:7)),),""))</f>
        <v/>
      </c>
      <c r="D19" s="203" t="str">
        <f ca="1">IF(ROWS($1:7)&gt;COUNT(Dong1),"",IF(OFFSET(TH!L$1,SMALL(Dong1,ROWS($1:7)),)="1111",OFFSET(TH!E$1,SMALL(Dong1,ROWS($1:7)),),""))</f>
        <v/>
      </c>
      <c r="E19" s="204" t="str">
        <f ca="1">IF(ROWS($1:7)&gt;COUNT(Dong1),"",OFFSET(TH!G$1,SMALL(Dong1,ROWS($1:7)),))</f>
        <v/>
      </c>
      <c r="F19" s="205" t="str">
        <f ca="1">IF(ROWS($1:7)&gt;COUNT(Dong1),"",IF(OFFSET(TH!L$1,SMALL(Dong1,ROWS($1:7)),)="1111",OFFSET(TH!K$1,SMALL(Dong1,ROWS($1:7)),),OFFSET(TH!L$1,SMALL(Dong1,ROWS($1:7)),)))</f>
        <v/>
      </c>
      <c r="G19" s="206" t="str">
        <f ca="1">IF(ROWS($1:7)&gt;COUNT(Dong1),"",IF(OFFSET(TH!K$1,SMALL(Dong1,ROWS($1:7)),)="1111",OFFSET(TH!J$1,SMALL(Dong1,ROWS($1:7)),),0))</f>
        <v/>
      </c>
      <c r="H19" s="204" t="str">
        <f ca="1">IF(ROWS($1:7)&gt;COUNT(Dong1),"",IF(OFFSET(TH!L$1,SMALL(Dong1,ROWS($1:7)),)="1111",OFFSET(TH!J$1,SMALL(Dong1,ROWS($1:7)),),0))</f>
        <v/>
      </c>
      <c r="I19" s="202">
        <f t="shared" ca="1" si="0"/>
        <v>0</v>
      </c>
      <c r="J19" s="207"/>
    </row>
    <row r="20" spans="1:10" ht="17.25" customHeight="1">
      <c r="A20" s="201" t="str">
        <f ca="1">IF(ROWS($1:8)&gt;COUNT(Dong1),"",OFFSET(TH!D$1,SMALL(Dong1,ROWS($1:8)),))</f>
        <v/>
      </c>
      <c r="B20" s="201" t="str">
        <f ca="1">IF(ROWS($1:8)&gt;COUNT(Dong1),"",OFFSET(TH!F$1,SMALL(Dong1,ROWS($1:8)),))</f>
        <v/>
      </c>
      <c r="C20" s="202" t="str">
        <f ca="1">IF(ROWS($1:8)&gt;COUNT(Dong1),"",IF(OFFSET(TH!K$1,SMALL(Dong1,ROWS($1:8)),)="1111",OFFSET(TH!E$1,SMALL(Dong1,ROWS($1:8)),),""))</f>
        <v/>
      </c>
      <c r="D20" s="203" t="str">
        <f ca="1">IF(ROWS($1:8)&gt;COUNT(Dong1),"",IF(OFFSET(TH!L$1,SMALL(Dong1,ROWS($1:8)),)="1111",OFFSET(TH!E$1,SMALL(Dong1,ROWS($1:8)),),""))</f>
        <v/>
      </c>
      <c r="E20" s="204" t="str">
        <f ca="1">IF(ROWS($1:8)&gt;COUNT(Dong1),"",OFFSET(TH!G$1,SMALL(Dong1,ROWS($1:8)),))</f>
        <v/>
      </c>
      <c r="F20" s="205" t="str">
        <f ca="1">IF(ROWS($1:8)&gt;COUNT(Dong1),"",IF(OFFSET(TH!L$1,SMALL(Dong1,ROWS($1:8)),)="1111",OFFSET(TH!K$1,SMALL(Dong1,ROWS($1:8)),),OFFSET(TH!L$1,SMALL(Dong1,ROWS($1:8)),)))</f>
        <v/>
      </c>
      <c r="G20" s="206" t="str">
        <f ca="1">IF(ROWS($1:8)&gt;COUNT(Dong1),"",IF(OFFSET(TH!K$1,SMALL(Dong1,ROWS($1:8)),)="1111",OFFSET(TH!J$1,SMALL(Dong1,ROWS($1:8)),),0))</f>
        <v/>
      </c>
      <c r="H20" s="204" t="str">
        <f ca="1">IF(ROWS($1:8)&gt;COUNT(Dong1),"",IF(OFFSET(TH!L$1,SMALL(Dong1,ROWS($1:8)),)="1111",OFFSET(TH!J$1,SMALL(Dong1,ROWS($1:8)),),0))</f>
        <v/>
      </c>
      <c r="I20" s="202">
        <f t="shared" ca="1" si="0"/>
        <v>0</v>
      </c>
      <c r="J20" s="207"/>
    </row>
    <row r="21" spans="1:10" ht="17.25" customHeight="1">
      <c r="A21" s="201" t="str">
        <f ca="1">IF(ROWS($1:9)&gt;COUNT(Dong1),"",OFFSET(TH!D$1,SMALL(Dong1,ROWS($1:9)),))</f>
        <v/>
      </c>
      <c r="B21" s="201" t="str">
        <f ca="1">IF(ROWS($1:9)&gt;COUNT(Dong1),"",OFFSET(TH!F$1,SMALL(Dong1,ROWS($1:9)),))</f>
        <v/>
      </c>
      <c r="C21" s="202" t="str">
        <f ca="1">IF(ROWS($1:9)&gt;COUNT(Dong1),"",IF(OFFSET(TH!K$1,SMALL(Dong1,ROWS($1:9)),)="1111",OFFSET(TH!E$1,SMALL(Dong1,ROWS($1:9)),),""))</f>
        <v/>
      </c>
      <c r="D21" s="203" t="str">
        <f ca="1">IF(ROWS($1:9)&gt;COUNT(Dong1),"",IF(OFFSET(TH!L$1,SMALL(Dong1,ROWS($1:9)),)="1111",OFFSET(TH!E$1,SMALL(Dong1,ROWS($1:9)),),""))</f>
        <v/>
      </c>
      <c r="E21" s="204" t="str">
        <f ca="1">IF(ROWS($1:9)&gt;COUNT(Dong1),"",OFFSET(TH!G$1,SMALL(Dong1,ROWS($1:9)),))</f>
        <v/>
      </c>
      <c r="F21" s="205" t="str">
        <f ca="1">IF(ROWS($1:9)&gt;COUNT(Dong1),"",IF(OFFSET(TH!L$1,SMALL(Dong1,ROWS($1:9)),)="1111",OFFSET(TH!K$1,SMALL(Dong1,ROWS($1:9)),),OFFSET(TH!L$1,SMALL(Dong1,ROWS($1:9)),)))</f>
        <v/>
      </c>
      <c r="G21" s="206" t="str">
        <f ca="1">IF(ROWS($1:9)&gt;COUNT(Dong1),"",IF(OFFSET(TH!K$1,SMALL(Dong1,ROWS($1:9)),)="1111",OFFSET(TH!J$1,SMALL(Dong1,ROWS($1:9)),),0))</f>
        <v/>
      </c>
      <c r="H21" s="204" t="str">
        <f ca="1">IF(ROWS($1:9)&gt;COUNT(Dong1),"",IF(OFFSET(TH!L$1,SMALL(Dong1,ROWS($1:9)),)="1111",OFFSET(TH!J$1,SMALL(Dong1,ROWS($1:9)),),0))</f>
        <v/>
      </c>
      <c r="I21" s="202">
        <f t="shared" ca="1" si="0"/>
        <v>0</v>
      </c>
      <c r="J21" s="207"/>
    </row>
    <row r="22" spans="1:10" ht="17.25" customHeight="1">
      <c r="A22" s="208"/>
      <c r="B22" s="207"/>
      <c r="C22" s="207"/>
      <c r="D22" s="207"/>
      <c r="E22" s="207"/>
      <c r="F22" s="209"/>
      <c r="G22" s="207"/>
      <c r="H22" s="207"/>
      <c r="I22" s="202"/>
      <c r="J22" s="207"/>
    </row>
    <row r="23" spans="1:10" s="197" customFormat="1" ht="17.25" customHeight="1">
      <c r="A23" s="210"/>
      <c r="B23" s="210"/>
      <c r="C23" s="210"/>
      <c r="D23" s="210"/>
      <c r="E23" s="210" t="s">
        <v>243</v>
      </c>
      <c r="F23" s="211" t="s">
        <v>25</v>
      </c>
      <c r="G23" s="210">
        <f ca="1">SUM(G13:G22)</f>
        <v>0</v>
      </c>
      <c r="H23" s="210">
        <f ca="1">SUM(H13:H22)</f>
        <v>119876000</v>
      </c>
      <c r="I23" s="211" t="s">
        <v>25</v>
      </c>
      <c r="J23" s="211" t="s">
        <v>25</v>
      </c>
    </row>
    <row r="24" spans="1:10" s="197" customFormat="1" ht="17.25" customHeight="1">
      <c r="A24" s="212"/>
      <c r="B24" s="212"/>
      <c r="C24" s="212"/>
      <c r="D24" s="212"/>
      <c r="E24" s="212" t="s">
        <v>244</v>
      </c>
      <c r="F24" s="213" t="s">
        <v>25</v>
      </c>
      <c r="G24" s="213" t="s">
        <v>25</v>
      </c>
      <c r="H24" s="213" t="s">
        <v>25</v>
      </c>
      <c r="I24" s="214">
        <f ca="1">I12+G23-H23</f>
        <v>1681067500</v>
      </c>
      <c r="J24" s="213" t="s">
        <v>25</v>
      </c>
    </row>
    <row r="26" spans="1:10">
      <c r="A26" s="215" t="s">
        <v>245</v>
      </c>
    </row>
    <row r="27" spans="1:10">
      <c r="A27" s="299" t="str">
        <f ca="1">"- Ngày mở sổ: "&amp;DAY($A$13)&amp;"/"&amp;MONTH($A$13)&amp;"/ 2014"</f>
        <v>- Ngày mở sổ: 17/10/ 2014</v>
      </c>
    </row>
    <row r="28" spans="1:10">
      <c r="I28" s="216" t="str">
        <f>"Ngày "&amp;IF(OR($O$10=3,$O$10=12),"31","30")&amp;" tháng "&amp;$O$10&amp;"  năm  2014 "</f>
        <v xml:space="preserve">Ngày 31 tháng 12  năm  2014 </v>
      </c>
    </row>
    <row r="29" spans="1:10" s="217" customFormat="1" ht="14.25">
      <c r="B29" s="217" t="s">
        <v>13</v>
      </c>
      <c r="E29" s="217" t="s">
        <v>14</v>
      </c>
      <c r="I29" s="217" t="s">
        <v>209</v>
      </c>
    </row>
    <row r="30" spans="1:10" s="218" customFormat="1">
      <c r="B30" s="218" t="s">
        <v>15</v>
      </c>
      <c r="E30" s="218" t="s">
        <v>15</v>
      </c>
      <c r="I30" s="218" t="s">
        <v>246</v>
      </c>
    </row>
    <row r="31" spans="1:10" s="218" customFormat="1"/>
    <row r="35" spans="5:5">
      <c r="E35" s="192">
        <f ca="1">SUMIF($D$13:$D$21,#REF!,H13:H21)</f>
        <v>0</v>
      </c>
    </row>
  </sheetData>
  <autoFilter ref="A11:J24">
    <filterColumn colId="6"/>
  </autoFilter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21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P77"/>
  <sheetViews>
    <sheetView topLeftCell="A8" workbookViewId="0">
      <pane ySplit="4" topLeftCell="A54" activePane="bottomLeft" state="frozen"/>
      <selection activeCell="A8" sqref="A8"/>
      <selection pane="bottomLeft" activeCell="I75" sqref="I75"/>
    </sheetView>
  </sheetViews>
  <sheetFormatPr defaultRowHeight="15.75"/>
  <cols>
    <col min="1" max="1" width="10.7109375" style="266" customWidth="1"/>
    <col min="2" max="2" width="7.28515625" style="267" customWidth="1"/>
    <col min="3" max="3" width="9.7109375" style="266" customWidth="1"/>
    <col min="4" max="4" width="33" style="265" customWidth="1"/>
    <col min="5" max="5" width="35.28515625" style="265" hidden="1" customWidth="1"/>
    <col min="6" max="6" width="6.5703125" style="265" customWidth="1"/>
    <col min="7" max="8" width="14" style="265" customWidth="1"/>
    <col min="9" max="9" width="14.85546875" style="265" customWidth="1"/>
    <col min="10" max="10" width="8.5703125" style="265" customWidth="1"/>
    <col min="11" max="11" width="2.85546875" style="265" customWidth="1"/>
    <col min="12" max="12" width="10.7109375" style="265" bestFit="1" customWidth="1"/>
    <col min="13" max="13" width="4.140625" style="265" hidden="1" customWidth="1"/>
    <col min="14" max="15" width="4.5703125" style="265" hidden="1" customWidth="1"/>
    <col min="16" max="16" width="9.140625" style="265" hidden="1" customWidth="1"/>
    <col min="17" max="16384" width="9.140625" style="265"/>
  </cols>
  <sheetData>
    <row r="1" spans="1:15" s="222" customFormat="1" ht="16.5" customHeight="1">
      <c r="A1" s="219" t="s">
        <v>216</v>
      </c>
      <c r="B1" s="223"/>
      <c r="C1" s="224"/>
      <c r="H1" s="533" t="s">
        <v>251</v>
      </c>
      <c r="I1" s="533"/>
      <c r="J1" s="533"/>
      <c r="K1" s="225"/>
      <c r="L1" s="225"/>
    </row>
    <row r="2" spans="1:15" s="222" customFormat="1" ht="16.5" customHeight="1">
      <c r="A2" s="157" t="s">
        <v>217</v>
      </c>
      <c r="B2" s="268"/>
      <c r="C2" s="268"/>
      <c r="D2" s="268"/>
      <c r="E2" s="226"/>
      <c r="H2" s="534" t="s">
        <v>252</v>
      </c>
      <c r="I2" s="534"/>
      <c r="J2" s="534"/>
      <c r="K2" s="227"/>
      <c r="L2" s="227"/>
    </row>
    <row r="3" spans="1:15" s="222" customFormat="1" ht="16.5" customHeight="1">
      <c r="A3" s="268"/>
      <c r="B3" s="268"/>
      <c r="C3" s="268"/>
      <c r="D3" s="268"/>
      <c r="E3" s="226"/>
      <c r="H3" s="534" t="s">
        <v>253</v>
      </c>
      <c r="I3" s="534"/>
      <c r="J3" s="534"/>
    </row>
    <row r="4" spans="1:15" s="222" customFormat="1" ht="19.5" customHeight="1">
      <c r="A4" s="535" t="s">
        <v>254</v>
      </c>
      <c r="B4" s="535"/>
      <c r="C4" s="535"/>
      <c r="D4" s="535"/>
      <c r="E4" s="535"/>
      <c r="F4" s="535"/>
      <c r="G4" s="535"/>
      <c r="H4" s="535"/>
      <c r="I4" s="535"/>
      <c r="J4" s="535"/>
    </row>
    <row r="5" spans="1:15" s="222" customFormat="1" ht="15">
      <c r="A5" s="536" t="s">
        <v>255</v>
      </c>
      <c r="B5" s="536"/>
      <c r="C5" s="536"/>
      <c r="D5" s="536"/>
      <c r="E5" s="536"/>
      <c r="F5" s="536"/>
      <c r="G5" s="536"/>
      <c r="H5" s="536"/>
      <c r="I5" s="536"/>
      <c r="J5" s="536"/>
    </row>
    <row r="6" spans="1:15" s="222" customFormat="1" ht="15">
      <c r="A6" s="536" t="s">
        <v>263</v>
      </c>
      <c r="B6" s="536"/>
      <c r="C6" s="536"/>
      <c r="D6" s="536"/>
      <c r="E6" s="536"/>
      <c r="F6" s="536"/>
      <c r="G6" s="536"/>
      <c r="H6" s="536"/>
      <c r="I6" s="536"/>
      <c r="J6" s="536"/>
    </row>
    <row r="7" spans="1:15" s="222" customFormat="1" ht="8.25" customHeight="1">
      <c r="A7" s="228"/>
      <c r="B7" s="229"/>
      <c r="C7" s="228"/>
      <c r="D7" s="229"/>
      <c r="E7" s="229"/>
      <c r="F7" s="229"/>
      <c r="G7" s="229"/>
      <c r="H7" s="229"/>
      <c r="I7" s="229"/>
      <c r="J7" s="229"/>
    </row>
    <row r="8" spans="1:15" s="231" customFormat="1" ht="22.5" customHeight="1" thickBot="1">
      <c r="A8" s="537" t="s">
        <v>256</v>
      </c>
      <c r="B8" s="539" t="s">
        <v>1</v>
      </c>
      <c r="C8" s="540"/>
      <c r="D8" s="541" t="s">
        <v>0</v>
      </c>
      <c r="E8" s="230"/>
      <c r="F8" s="543" t="s">
        <v>18</v>
      </c>
      <c r="G8" s="545" t="s">
        <v>257</v>
      </c>
      <c r="H8" s="539"/>
      <c r="I8" s="540"/>
      <c r="J8" s="541" t="s">
        <v>237</v>
      </c>
      <c r="L8" s="220"/>
      <c r="M8" s="192"/>
      <c r="N8" s="529" t="s">
        <v>247</v>
      </c>
      <c r="O8" s="529"/>
    </row>
    <row r="9" spans="1:15" s="231" customFormat="1" ht="22.5" customHeight="1" thickBot="1">
      <c r="A9" s="538"/>
      <c r="B9" s="232" t="s">
        <v>19</v>
      </c>
      <c r="C9" s="233" t="s">
        <v>258</v>
      </c>
      <c r="D9" s="542"/>
      <c r="E9" s="234"/>
      <c r="F9" s="544"/>
      <c r="G9" s="235" t="s">
        <v>259</v>
      </c>
      <c r="H9" s="235" t="s">
        <v>260</v>
      </c>
      <c r="I9" s="230" t="s">
        <v>261</v>
      </c>
      <c r="J9" s="542"/>
      <c r="L9" s="269" t="s">
        <v>264</v>
      </c>
      <c r="M9" s="192"/>
      <c r="N9" s="270">
        <f>IF(L9="Quý I",1,IF(L9="Quý II",4,IF(L9="Quý III",7,IF(L9="Quý IV",10,""))))</f>
        <v>10</v>
      </c>
      <c r="O9" s="271">
        <f>IF(L9="Quý I",3,IF(L9="Quý II",6,IF(L9="Quý III",9,IF(L9="Quý IV",12,""))))</f>
        <v>12</v>
      </c>
    </row>
    <row r="10" spans="1:15" s="238" customFormat="1" ht="12">
      <c r="A10" s="236" t="s">
        <v>2</v>
      </c>
      <c r="B10" s="237" t="s">
        <v>3</v>
      </c>
      <c r="C10" s="236" t="s">
        <v>4</v>
      </c>
      <c r="D10" s="237" t="s">
        <v>5</v>
      </c>
      <c r="E10" s="237"/>
      <c r="F10" s="237" t="s">
        <v>6</v>
      </c>
      <c r="G10" s="237">
        <v>1</v>
      </c>
      <c r="H10" s="237">
        <v>2</v>
      </c>
      <c r="I10" s="237">
        <v>3</v>
      </c>
      <c r="J10" s="237" t="s">
        <v>240</v>
      </c>
    </row>
    <row r="11" spans="1:15" s="243" customFormat="1" ht="18" customHeight="1">
      <c r="A11" s="239"/>
      <c r="B11" s="240"/>
      <c r="C11" s="239"/>
      <c r="D11" s="241" t="s">
        <v>7</v>
      </c>
      <c r="E11" s="241"/>
      <c r="F11" s="241"/>
      <c r="G11" s="242"/>
      <c r="H11" s="241"/>
      <c r="I11" s="242">
        <f>IF($L$9="All",CDPS!$C$12,CDPS!$C$12+SUMIF(_N112,"x",TH)-SUMIF(_C112,"x",TH))</f>
        <v>839154687</v>
      </c>
      <c r="J11" s="241"/>
    </row>
    <row r="12" spans="1:15" s="231" customFormat="1" ht="18" customHeight="1">
      <c r="A12" s="244">
        <f ca="1">IF(ROWS($1:1)&gt;COUNT(Dong2),"",OFFSET(TH!D$1,SMALL(Dong2,ROWS($1:1)),))</f>
        <v>41915</v>
      </c>
      <c r="B12" s="244" t="str">
        <f ca="1">IF(ROWS($1:1)&gt;COUNT(Dong2),"",OFFSET(TH!E$1,SMALL(Dong2,ROWS($1:1)),))</f>
        <v>GBN</v>
      </c>
      <c r="C12" s="244">
        <f ca="1">IF(ROWS($1:1)&gt;COUNT(Dong2),"",OFFSET(TH!F$1,SMALL(Dong2,ROWS($1:1)),))</f>
        <v>41915</v>
      </c>
      <c r="D12" s="272" t="str">
        <f ca="1">IF(ROWS($1:1)&gt;COUNT(Dong2),"",OFFSET(TH!G$1,SMALL(Dong2,ROWS($1:1)),))</f>
        <v>Thanh toán tiền dự án cấp thoát nước</v>
      </c>
      <c r="E12" s="272">
        <f ca="1">IF(ROWS($1:1)&gt;COUNT(Dong2),"",OFFSET(TH!H$1,SMALL(Dong2,ROWS($1:1)),))</f>
        <v>0</v>
      </c>
      <c r="F12" s="244" t="str">
        <f ca="1">IF(ROWS($1:1)&gt;COUNT(Dong2),"",IF(OFFSET(TH!L$1,SMALL(Dong2,ROWS($1:1)),)="1121",OFFSET(TH!K$1,SMALL(Dong2,ROWS($1:1)),),OFFSET(TH!L$1,SMALL(Dong2,ROWS($1:1)),)))</f>
        <v>331</v>
      </c>
      <c r="G12" s="245">
        <f ca="1">IF(ROWS($1:1)&gt;COUNT(Dong2),"",IF(OFFSET(TH!K$1,SMALL(Dong2,ROWS($1:1)),)="1121",OFFSET(TH!J$1,SMALL(Dong2,ROWS($1:1)),),0))</f>
        <v>0</v>
      </c>
      <c r="H12" s="245">
        <f ca="1">IF(ROWS($1:1)&gt;COUNT(Dong2),"",IF(OFFSET(TH!L$1,SMALL(Dong2,ROWS($1:1)),)="1121",OFFSET(TH!J$1,SMALL(Dong2,ROWS($1:1)),),0))</f>
        <v>16327199</v>
      </c>
      <c r="I12" s="246">
        <f ca="1">IF(A12&lt;&gt;"",I11+G12-H12,0)</f>
        <v>822827488</v>
      </c>
      <c r="J12" s="246"/>
    </row>
    <row r="13" spans="1:15" s="231" customFormat="1" ht="18" customHeight="1">
      <c r="A13" s="244">
        <f ca="1">IF(ROWS($1:2)&gt;COUNT(Dong2),"",OFFSET(TH!D$1,SMALL(Dong2,ROWS($1:2)),))</f>
        <v>41915</v>
      </c>
      <c r="B13" s="244" t="str">
        <f ca="1">IF(ROWS($1:2)&gt;COUNT(Dong2),"",OFFSET(TH!E$1,SMALL(Dong2,ROWS($1:2)),))</f>
        <v>GBN</v>
      </c>
      <c r="C13" s="244">
        <f ca="1">IF(ROWS($1:2)&gt;COUNT(Dong2),"",OFFSET(TH!F$1,SMALL(Dong2,ROWS($1:2)),))</f>
        <v>41915</v>
      </c>
      <c r="D13" s="272" t="str">
        <f ca="1">IF(ROWS($1:2)&gt;COUNT(Dong2),"",OFFSET(TH!G$1,SMALL(Dong2,ROWS($1:2)),))</f>
        <v xml:space="preserve">Phí chuyển tiền </v>
      </c>
      <c r="E13" s="272">
        <f ca="1">IF(ROWS($1:2)&gt;COUNT(Dong2),"",OFFSET(TH!H$1,SMALL(Dong2,ROWS($1:2)),))</f>
        <v>0</v>
      </c>
      <c r="F13" s="244" t="str">
        <f ca="1">IF(ROWS($1:2)&gt;COUNT(Dong2),"",IF(OFFSET(TH!L$1,SMALL(Dong2,ROWS($1:2)),)="1121",OFFSET(TH!K$1,SMALL(Dong2,ROWS($1:2)),),OFFSET(TH!L$1,SMALL(Dong2,ROWS($1:2)),)))</f>
        <v>642</v>
      </c>
      <c r="G13" s="245">
        <f ca="1">IF(ROWS($1:2)&gt;COUNT(Dong2),"",IF(OFFSET(TH!K$1,SMALL(Dong2,ROWS($1:2)),)="1121",OFFSET(TH!J$1,SMALL(Dong2,ROWS($1:2)),),0))</f>
        <v>0</v>
      </c>
      <c r="H13" s="245">
        <f ca="1">IF(ROWS($1:2)&gt;COUNT(Dong2),"",IF(OFFSET(TH!L$1,SMALL(Dong2,ROWS($1:2)),)="1121",OFFSET(TH!J$1,SMALL(Dong2,ROWS($1:2)),),0))</f>
        <v>25000</v>
      </c>
      <c r="I13" s="246">
        <f t="shared" ref="I13:I32" ca="1" si="0">IF(A13&lt;&gt;"",I12+G13-H13,0)</f>
        <v>822802488</v>
      </c>
      <c r="J13" s="246"/>
    </row>
    <row r="14" spans="1:15" s="231" customFormat="1" ht="18" customHeight="1">
      <c r="A14" s="244">
        <f ca="1">IF(ROWS($1:3)&gt;COUNT(Dong2),"",OFFSET(TH!D$1,SMALL(Dong2,ROWS($1:3)),))</f>
        <v>41915</v>
      </c>
      <c r="B14" s="244" t="str">
        <f ca="1">IF(ROWS($1:3)&gt;COUNT(Dong2),"",OFFSET(TH!E$1,SMALL(Dong2,ROWS($1:3)),))</f>
        <v>GBN</v>
      </c>
      <c r="C14" s="244">
        <f ca="1">IF(ROWS($1:3)&gt;COUNT(Dong2),"",OFFSET(TH!F$1,SMALL(Dong2,ROWS($1:3)),))</f>
        <v>41915</v>
      </c>
      <c r="D14" s="272" t="str">
        <f ca="1">IF(ROWS($1:3)&gt;COUNT(Dong2),"",OFFSET(TH!G$1,SMALL(Dong2,ROWS($1:3)),))</f>
        <v xml:space="preserve">VAT Phí chuyển tiền </v>
      </c>
      <c r="E14" s="272">
        <f ca="1">IF(ROWS($1:3)&gt;COUNT(Dong2),"",OFFSET(TH!H$1,SMALL(Dong2,ROWS($1:3)),))</f>
        <v>0</v>
      </c>
      <c r="F14" s="244" t="str">
        <f ca="1">IF(ROWS($1:3)&gt;COUNT(Dong2),"",IF(OFFSET(TH!L$1,SMALL(Dong2,ROWS($1:3)),)="1121",OFFSET(TH!K$1,SMALL(Dong2,ROWS($1:3)),),OFFSET(TH!L$1,SMALL(Dong2,ROWS($1:3)),)))</f>
        <v>1331</v>
      </c>
      <c r="G14" s="245">
        <f ca="1">IF(ROWS($1:3)&gt;COUNT(Dong2),"",IF(OFFSET(TH!K$1,SMALL(Dong2,ROWS($1:3)),)="1121",OFFSET(TH!J$1,SMALL(Dong2,ROWS($1:3)),),0))</f>
        <v>0</v>
      </c>
      <c r="H14" s="245">
        <f ca="1">IF(ROWS($1:3)&gt;COUNT(Dong2),"",IF(OFFSET(TH!L$1,SMALL(Dong2,ROWS($1:3)),)="1121",OFFSET(TH!J$1,SMALL(Dong2,ROWS($1:3)),),0))</f>
        <v>2500</v>
      </c>
      <c r="I14" s="246">
        <f t="shared" ca="1" si="0"/>
        <v>822799988</v>
      </c>
      <c r="J14" s="246"/>
    </row>
    <row r="15" spans="1:15" s="231" customFormat="1" ht="18" customHeight="1">
      <c r="A15" s="244">
        <f ca="1">IF(ROWS($1:4)&gt;COUNT(Dong2),"",OFFSET(TH!D$1,SMALL(Dong2,ROWS($1:4)),))</f>
        <v>41918</v>
      </c>
      <c r="B15" s="244" t="str">
        <f ca="1">IF(ROWS($1:4)&gt;COUNT(Dong2),"",OFFSET(TH!E$1,SMALL(Dong2,ROWS($1:4)),))</f>
        <v>GBN</v>
      </c>
      <c r="C15" s="244">
        <f ca="1">IF(ROWS($1:4)&gt;COUNT(Dong2),"",OFFSET(TH!F$1,SMALL(Dong2,ROWS($1:4)),))</f>
        <v>41918</v>
      </c>
      <c r="D15" s="272" t="str">
        <f ca="1">IF(ROWS($1:4)&gt;COUNT(Dong2),"",OFFSET(TH!G$1,SMALL(Dong2,ROWS($1:4)),))</f>
        <v>Thanh toán CSHT - KCN Long Đức 15/09/14 - 15/09/15</v>
      </c>
      <c r="E15" s="272">
        <f ca="1">IF(ROWS($1:4)&gt;COUNT(Dong2),"",OFFSET(TH!H$1,SMALL(Dong2,ROWS($1:4)),))</f>
        <v>0</v>
      </c>
      <c r="F15" s="244" t="str">
        <f ca="1">IF(ROWS($1:4)&gt;COUNT(Dong2),"",IF(OFFSET(TH!L$1,SMALL(Dong2,ROWS($1:4)),)="1121",OFFSET(TH!K$1,SMALL(Dong2,ROWS($1:4)),),OFFSET(TH!L$1,SMALL(Dong2,ROWS($1:4)),)))</f>
        <v>331</v>
      </c>
      <c r="G15" s="245">
        <f ca="1">IF(ROWS($1:4)&gt;COUNT(Dong2),"",IF(OFFSET(TH!K$1,SMALL(Dong2,ROWS($1:4)),)="1121",OFFSET(TH!J$1,SMALL(Dong2,ROWS($1:4)),),0))</f>
        <v>0</v>
      </c>
      <c r="H15" s="245">
        <f ca="1">IF(ROWS($1:4)&gt;COUNT(Dong2),"",IF(OFFSET(TH!L$1,SMALL(Dong2,ROWS($1:4)),)="1121",OFFSET(TH!J$1,SMALL(Dong2,ROWS($1:4)),),0))</f>
        <v>34408000</v>
      </c>
      <c r="I15" s="246">
        <f t="shared" ca="1" si="0"/>
        <v>788391988</v>
      </c>
      <c r="J15" s="246"/>
    </row>
    <row r="16" spans="1:15" s="231" customFormat="1" ht="18" customHeight="1">
      <c r="A16" s="244">
        <f ca="1">IF(ROWS($1:5)&gt;COUNT(Dong2),"",OFFSET(TH!D$1,SMALL(Dong2,ROWS($1:5)),))</f>
        <v>41918</v>
      </c>
      <c r="B16" s="244" t="str">
        <f ca="1">IF(ROWS($1:5)&gt;COUNT(Dong2),"",OFFSET(TH!E$1,SMALL(Dong2,ROWS($1:5)),))</f>
        <v>GBN</v>
      </c>
      <c r="C16" s="244">
        <f ca="1">IF(ROWS($1:5)&gt;COUNT(Dong2),"",OFFSET(TH!F$1,SMALL(Dong2,ROWS($1:5)),))</f>
        <v>41918</v>
      </c>
      <c r="D16" s="272" t="str">
        <f ca="1">IF(ROWS($1:5)&gt;COUNT(Dong2),"",OFFSET(TH!G$1,SMALL(Dong2,ROWS($1:5)),))</f>
        <v xml:space="preserve">Phí chuyển tiền </v>
      </c>
      <c r="E16" s="272">
        <f ca="1">IF(ROWS($1:5)&gt;COUNT(Dong2),"",OFFSET(TH!H$1,SMALL(Dong2,ROWS($1:5)),))</f>
        <v>0</v>
      </c>
      <c r="F16" s="244" t="str">
        <f ca="1">IF(ROWS($1:5)&gt;COUNT(Dong2),"",IF(OFFSET(TH!L$1,SMALL(Dong2,ROWS($1:5)),)="1121",OFFSET(TH!K$1,SMALL(Dong2,ROWS($1:5)),),OFFSET(TH!L$1,SMALL(Dong2,ROWS($1:5)),)))</f>
        <v>642</v>
      </c>
      <c r="G16" s="245">
        <f ca="1">IF(ROWS($1:5)&gt;COUNT(Dong2),"",IF(OFFSET(TH!K$1,SMALL(Dong2,ROWS($1:5)),)="1121",OFFSET(TH!J$1,SMALL(Dong2,ROWS($1:5)),),0))</f>
        <v>0</v>
      </c>
      <c r="H16" s="245">
        <f ca="1">IF(ROWS($1:5)&gt;COUNT(Dong2),"",IF(OFFSET(TH!L$1,SMALL(Dong2,ROWS($1:5)),)="1121",OFFSET(TH!J$1,SMALL(Dong2,ROWS($1:5)),),0))</f>
        <v>25000</v>
      </c>
      <c r="I16" s="246">
        <f t="shared" ca="1" si="0"/>
        <v>788366988</v>
      </c>
      <c r="J16" s="246"/>
    </row>
    <row r="17" spans="1:10" s="231" customFormat="1" ht="18" customHeight="1">
      <c r="A17" s="244">
        <f ca="1">IF(ROWS($1:6)&gt;COUNT(Dong2),"",OFFSET(TH!D$1,SMALL(Dong2,ROWS($1:6)),))</f>
        <v>41918</v>
      </c>
      <c r="B17" s="244" t="str">
        <f ca="1">IF(ROWS($1:6)&gt;COUNT(Dong2),"",OFFSET(TH!E$1,SMALL(Dong2,ROWS($1:6)),))</f>
        <v>GBN</v>
      </c>
      <c r="C17" s="244">
        <f ca="1">IF(ROWS($1:6)&gt;COUNT(Dong2),"",OFFSET(TH!F$1,SMALL(Dong2,ROWS($1:6)),))</f>
        <v>41918</v>
      </c>
      <c r="D17" s="272" t="str">
        <f ca="1">IF(ROWS($1:6)&gt;COUNT(Dong2),"",OFFSET(TH!G$1,SMALL(Dong2,ROWS($1:6)),))</f>
        <v xml:space="preserve">VAT Phí chuyển tiền </v>
      </c>
      <c r="E17" s="272">
        <f ca="1">IF(ROWS($1:6)&gt;COUNT(Dong2),"",OFFSET(TH!H$1,SMALL(Dong2,ROWS($1:6)),))</f>
        <v>0</v>
      </c>
      <c r="F17" s="244" t="str">
        <f ca="1">IF(ROWS($1:6)&gt;COUNT(Dong2),"",IF(OFFSET(TH!L$1,SMALL(Dong2,ROWS($1:6)),)="1121",OFFSET(TH!K$1,SMALL(Dong2,ROWS($1:6)),),OFFSET(TH!L$1,SMALL(Dong2,ROWS($1:6)),)))</f>
        <v>1331</v>
      </c>
      <c r="G17" s="245">
        <f ca="1">IF(ROWS($1:6)&gt;COUNT(Dong2),"",IF(OFFSET(TH!K$1,SMALL(Dong2,ROWS($1:6)),)="1121",OFFSET(TH!J$1,SMALL(Dong2,ROWS($1:6)),),0))</f>
        <v>0</v>
      </c>
      <c r="H17" s="245">
        <f ca="1">IF(ROWS($1:6)&gt;COUNT(Dong2),"",IF(OFFSET(TH!L$1,SMALL(Dong2,ROWS($1:6)),)="1121",OFFSET(TH!J$1,SMALL(Dong2,ROWS($1:6)),),0))</f>
        <v>2500</v>
      </c>
      <c r="I17" s="246">
        <f t="shared" ca="1" si="0"/>
        <v>788364488</v>
      </c>
      <c r="J17" s="246"/>
    </row>
    <row r="18" spans="1:10" s="231" customFormat="1" ht="18" customHeight="1">
      <c r="A18" s="244">
        <f ca="1">IF(ROWS($1:7)&gt;COUNT(Dong2),"",OFFSET(TH!D$1,SMALL(Dong2,ROWS($1:7)),))</f>
        <v>41928</v>
      </c>
      <c r="B18" s="244" t="str">
        <f ca="1">IF(ROWS($1:7)&gt;COUNT(Dong2),"",OFFSET(TH!E$1,SMALL(Dong2,ROWS($1:7)),))</f>
        <v>GBN</v>
      </c>
      <c r="C18" s="244">
        <f ca="1">IF(ROWS($1:7)&gt;COUNT(Dong2),"",OFFSET(TH!F$1,SMALL(Dong2,ROWS($1:7)),))</f>
        <v>41928</v>
      </c>
      <c r="D18" s="272" t="str">
        <f ca="1">IF(ROWS($1:7)&gt;COUNT(Dong2),"",OFFSET(TH!G$1,SMALL(Dong2,ROWS($1:7)),))</f>
        <v>Ứng tiền cọc betong IBS</v>
      </c>
      <c r="E18" s="272">
        <f ca="1">IF(ROWS($1:7)&gt;COUNT(Dong2),"",OFFSET(TH!H$1,SMALL(Dong2,ROWS($1:7)),))</f>
        <v>0</v>
      </c>
      <c r="F18" s="244" t="str">
        <f ca="1">IF(ROWS($1:7)&gt;COUNT(Dong2),"",IF(OFFSET(TH!L$1,SMALL(Dong2,ROWS($1:7)),)="1121",OFFSET(TH!K$1,SMALL(Dong2,ROWS($1:7)),),OFFSET(TH!L$1,SMALL(Dong2,ROWS($1:7)),)))</f>
        <v>331</v>
      </c>
      <c r="G18" s="245">
        <f ca="1">IF(ROWS($1:7)&gt;COUNT(Dong2),"",IF(OFFSET(TH!K$1,SMALL(Dong2,ROWS($1:7)),)="1121",OFFSET(TH!J$1,SMALL(Dong2,ROWS($1:7)),),0))</f>
        <v>0</v>
      </c>
      <c r="H18" s="245">
        <f ca="1">IF(ROWS($1:7)&gt;COUNT(Dong2),"",IF(OFFSET(TH!L$1,SMALL(Dong2,ROWS($1:7)),)="1121",OFFSET(TH!J$1,SMALL(Dong2,ROWS($1:7)),),0))</f>
        <v>323824160</v>
      </c>
      <c r="I18" s="246">
        <f t="shared" ca="1" si="0"/>
        <v>464540328</v>
      </c>
      <c r="J18" s="246"/>
    </row>
    <row r="19" spans="1:10" s="231" customFormat="1" ht="18" customHeight="1">
      <c r="A19" s="244">
        <f ca="1">IF(ROWS($1:8)&gt;COUNT(Dong2),"",OFFSET(TH!D$1,SMALL(Dong2,ROWS($1:8)),))</f>
        <v>41928</v>
      </c>
      <c r="B19" s="244" t="str">
        <f ca="1">IF(ROWS($1:8)&gt;COUNT(Dong2),"",OFFSET(TH!E$1,SMALL(Dong2,ROWS($1:8)),))</f>
        <v>GBN</v>
      </c>
      <c r="C19" s="244">
        <f ca="1">IF(ROWS($1:8)&gt;COUNT(Dong2),"",OFFSET(TH!F$1,SMALL(Dong2,ROWS($1:8)),))</f>
        <v>41928</v>
      </c>
      <c r="D19" s="272" t="str">
        <f ca="1">IF(ROWS($1:8)&gt;COUNT(Dong2),"",OFFSET(TH!G$1,SMALL(Dong2,ROWS($1:8)),))</f>
        <v xml:space="preserve">Phí chuyển tiền </v>
      </c>
      <c r="E19" s="272">
        <f ca="1">IF(ROWS($1:8)&gt;COUNT(Dong2),"",OFFSET(TH!H$1,SMALL(Dong2,ROWS($1:8)),))</f>
        <v>0</v>
      </c>
      <c r="F19" s="244" t="str">
        <f ca="1">IF(ROWS($1:8)&gt;COUNT(Dong2),"",IF(OFFSET(TH!L$1,SMALL(Dong2,ROWS($1:8)),)="1121",OFFSET(TH!K$1,SMALL(Dong2,ROWS($1:8)),),OFFSET(TH!L$1,SMALL(Dong2,ROWS($1:8)),)))</f>
        <v>642</v>
      </c>
      <c r="G19" s="245">
        <f ca="1">IF(ROWS($1:8)&gt;COUNT(Dong2),"",IF(OFFSET(TH!K$1,SMALL(Dong2,ROWS($1:8)),)="1121",OFFSET(TH!J$1,SMALL(Dong2,ROWS($1:8)),),0))</f>
        <v>0</v>
      </c>
      <c r="H19" s="245">
        <f ca="1">IF(ROWS($1:8)&gt;COUNT(Dong2),"",IF(OFFSET(TH!L$1,SMALL(Dong2,ROWS($1:8)),)="1121",OFFSET(TH!J$1,SMALL(Dong2,ROWS($1:8)),),0))</f>
        <v>97147</v>
      </c>
      <c r="I19" s="246">
        <f t="shared" ca="1" si="0"/>
        <v>464443181</v>
      </c>
      <c r="J19" s="246"/>
    </row>
    <row r="20" spans="1:10" s="231" customFormat="1" ht="18" customHeight="1">
      <c r="A20" s="244">
        <f ca="1">IF(ROWS($1:9)&gt;COUNT(Dong2),"",OFFSET(TH!D$1,SMALL(Dong2,ROWS($1:9)),))</f>
        <v>41928</v>
      </c>
      <c r="B20" s="244" t="str">
        <f ca="1">IF(ROWS($1:9)&gt;COUNT(Dong2),"",OFFSET(TH!E$1,SMALL(Dong2,ROWS($1:9)),))</f>
        <v>GBN</v>
      </c>
      <c r="C20" s="244">
        <f ca="1">IF(ROWS($1:9)&gt;COUNT(Dong2),"",OFFSET(TH!F$1,SMALL(Dong2,ROWS($1:9)),))</f>
        <v>41928</v>
      </c>
      <c r="D20" s="272" t="str">
        <f ca="1">IF(ROWS($1:9)&gt;COUNT(Dong2),"",OFFSET(TH!G$1,SMALL(Dong2,ROWS($1:9)),))</f>
        <v xml:space="preserve">VAT Phí chuyển tiền </v>
      </c>
      <c r="E20" s="272">
        <f ca="1">IF(ROWS($1:9)&gt;COUNT(Dong2),"",OFFSET(TH!H$1,SMALL(Dong2,ROWS($1:9)),))</f>
        <v>0</v>
      </c>
      <c r="F20" s="244" t="str">
        <f ca="1">IF(ROWS($1:9)&gt;COUNT(Dong2),"",IF(OFFSET(TH!L$1,SMALL(Dong2,ROWS($1:9)),)="1121",OFFSET(TH!K$1,SMALL(Dong2,ROWS($1:9)),),OFFSET(TH!L$1,SMALL(Dong2,ROWS($1:9)),)))</f>
        <v>1331</v>
      </c>
      <c r="G20" s="245">
        <f ca="1">IF(ROWS($1:9)&gt;COUNT(Dong2),"",IF(OFFSET(TH!K$1,SMALL(Dong2,ROWS($1:9)),)="1121",OFFSET(TH!J$1,SMALL(Dong2,ROWS($1:9)),),0))</f>
        <v>0</v>
      </c>
      <c r="H20" s="245">
        <f ca="1">IF(ROWS($1:9)&gt;COUNT(Dong2),"",IF(OFFSET(TH!L$1,SMALL(Dong2,ROWS($1:9)),)="1121",OFFSET(TH!J$1,SMALL(Dong2,ROWS($1:9)),),0))</f>
        <v>9715</v>
      </c>
      <c r="I20" s="246">
        <f t="shared" ca="1" si="0"/>
        <v>464433466</v>
      </c>
      <c r="J20" s="246"/>
    </row>
    <row r="21" spans="1:10" s="231" customFormat="1" ht="18" customHeight="1">
      <c r="A21" s="244">
        <f ca="1">IF(ROWS($1:10)&gt;COUNT(Dong2),"",OFFSET(TH!D$1,SMALL(Dong2,ROWS($1:10)),))</f>
        <v>41929</v>
      </c>
      <c r="B21" s="244" t="str">
        <f ca="1">IF(ROWS($1:10)&gt;COUNT(Dong2),"",OFFSET(TH!E$1,SMALL(Dong2,ROWS($1:10)),))</f>
        <v>GBC</v>
      </c>
      <c r="C21" s="244">
        <f ca="1">IF(ROWS($1:10)&gt;COUNT(Dong2),"",OFFSET(TH!F$1,SMALL(Dong2,ROWS($1:10)),))</f>
        <v>41929</v>
      </c>
      <c r="D21" s="272" t="str">
        <f ca="1">IF(ROWS($1:10)&gt;COUNT(Dong2),"",OFFSET(TH!G$1,SMALL(Dong2,ROWS($1:10)),))</f>
        <v>An Lạc LA- Ứng vốn</v>
      </c>
      <c r="E21" s="272">
        <f ca="1">IF(ROWS($1:10)&gt;COUNT(Dong2),"",OFFSET(TH!H$1,SMALL(Dong2,ROWS($1:10)),))</f>
        <v>0</v>
      </c>
      <c r="F21" s="244" t="str">
        <f ca="1">IF(ROWS($1:10)&gt;COUNT(Dong2),"",IF(OFFSET(TH!L$1,SMALL(Dong2,ROWS($1:10)),)="1121",OFFSET(TH!K$1,SMALL(Dong2,ROWS($1:10)),),OFFSET(TH!L$1,SMALL(Dong2,ROWS($1:10)),)))</f>
        <v>3388</v>
      </c>
      <c r="G21" s="245">
        <f ca="1">IF(ROWS($1:10)&gt;COUNT(Dong2),"",IF(OFFSET(TH!K$1,SMALL(Dong2,ROWS($1:10)),)="1121",OFFSET(TH!J$1,SMALL(Dong2,ROWS($1:10)),),0))</f>
        <v>25000000</v>
      </c>
      <c r="H21" s="245">
        <f ca="1">IF(ROWS($1:10)&gt;COUNT(Dong2),"",IF(OFFSET(TH!L$1,SMALL(Dong2,ROWS($1:10)),)="1121",OFFSET(TH!J$1,SMALL(Dong2,ROWS($1:10)),),0))</f>
        <v>0</v>
      </c>
      <c r="I21" s="246">
        <f t="shared" ca="1" si="0"/>
        <v>489433466</v>
      </c>
      <c r="J21" s="246"/>
    </row>
    <row r="22" spans="1:10" s="231" customFormat="1" ht="18" customHeight="1">
      <c r="A22" s="244">
        <f ca="1">IF(ROWS($1:11)&gt;COUNT(Dong2),"",OFFSET(TH!D$1,SMALL(Dong2,ROWS($1:11)),))</f>
        <v>41932</v>
      </c>
      <c r="B22" s="244" t="str">
        <f ca="1">IF(ROWS($1:11)&gt;COUNT(Dong2),"",OFFSET(TH!E$1,SMALL(Dong2,ROWS($1:11)),))</f>
        <v>GBN</v>
      </c>
      <c r="C22" s="244">
        <f ca="1">IF(ROWS($1:11)&gt;COUNT(Dong2),"",OFFSET(TH!F$1,SMALL(Dong2,ROWS($1:11)),))</f>
        <v>41932</v>
      </c>
      <c r="D22" s="272" t="str">
        <f ca="1">IF(ROWS($1:11)&gt;COUNT(Dong2),"",OFFSET(TH!G$1,SMALL(Dong2,ROWS($1:11)),))</f>
        <v>Lãi vay KU 1402LDS201401630</v>
      </c>
      <c r="E22" s="272">
        <f ca="1">IF(ROWS($1:11)&gt;COUNT(Dong2),"",OFFSET(TH!H$1,SMALL(Dong2,ROWS($1:11)),))</f>
        <v>0</v>
      </c>
      <c r="F22" s="244" t="str">
        <f ca="1">IF(ROWS($1:11)&gt;COUNT(Dong2),"",IF(OFFSET(TH!L$1,SMALL(Dong2,ROWS($1:11)),)="1121",OFFSET(TH!K$1,SMALL(Dong2,ROWS($1:11)),),OFFSET(TH!L$1,SMALL(Dong2,ROWS($1:11)),)))</f>
        <v>635</v>
      </c>
      <c r="G22" s="245">
        <f ca="1">IF(ROWS($1:11)&gt;COUNT(Dong2),"",IF(OFFSET(TH!K$1,SMALL(Dong2,ROWS($1:11)),)="1121",OFFSET(TH!J$1,SMALL(Dong2,ROWS($1:11)),),0))</f>
        <v>0</v>
      </c>
      <c r="H22" s="245">
        <f ca="1">IF(ROWS($1:11)&gt;COUNT(Dong2),"",IF(OFFSET(TH!L$1,SMALL(Dong2,ROWS($1:11)),)="1121",OFFSET(TH!J$1,SMALL(Dong2,ROWS($1:11)),),0))</f>
        <v>8333333</v>
      </c>
      <c r="I22" s="246">
        <f t="shared" ca="1" si="0"/>
        <v>481100133</v>
      </c>
      <c r="J22" s="246"/>
    </row>
    <row r="23" spans="1:10" s="231" customFormat="1" ht="18" customHeight="1">
      <c r="A23" s="244">
        <f ca="1">IF(ROWS($1:12)&gt;COUNT(Dong2),"",OFFSET(TH!D$1,SMALL(Dong2,ROWS($1:12)),))</f>
        <v>41934</v>
      </c>
      <c r="B23" s="244" t="str">
        <f ca="1">IF(ROWS($1:12)&gt;COUNT(Dong2),"",OFFSET(TH!E$1,SMALL(Dong2,ROWS($1:12)),))</f>
        <v>GBC</v>
      </c>
      <c r="C23" s="244">
        <f ca="1">IF(ROWS($1:12)&gt;COUNT(Dong2),"",OFFSET(TH!F$1,SMALL(Dong2,ROWS($1:12)),))</f>
        <v>41934</v>
      </c>
      <c r="D23" s="272" t="str">
        <f ca="1">IF(ROWS($1:12)&gt;COUNT(Dong2),"",OFFSET(TH!G$1,SMALL(Dong2,ROWS($1:12)),))</f>
        <v>Vay KU 1402LDS201402374</v>
      </c>
      <c r="E23" s="272">
        <f ca="1">IF(ROWS($1:12)&gt;COUNT(Dong2),"",OFFSET(TH!H$1,SMALL(Dong2,ROWS($1:12)),))</f>
        <v>0</v>
      </c>
      <c r="F23" s="244" t="str">
        <f ca="1">IF(ROWS($1:12)&gt;COUNT(Dong2),"",IF(OFFSET(TH!L$1,SMALL(Dong2,ROWS($1:12)),)="1121",OFFSET(TH!K$1,SMALL(Dong2,ROWS($1:12)),),OFFSET(TH!L$1,SMALL(Dong2,ROWS($1:12)),)))</f>
        <v>3411</v>
      </c>
      <c r="G23" s="245">
        <f ca="1">IF(ROWS($1:12)&gt;COUNT(Dong2),"",IF(OFFSET(TH!K$1,SMALL(Dong2,ROWS($1:12)),)="1121",OFFSET(TH!J$1,SMALL(Dong2,ROWS($1:12)),),0))</f>
        <v>1600000000</v>
      </c>
      <c r="H23" s="245">
        <f ca="1">IF(ROWS($1:12)&gt;COUNT(Dong2),"",IF(OFFSET(TH!L$1,SMALL(Dong2,ROWS($1:12)),)="1121",OFFSET(TH!J$1,SMALL(Dong2,ROWS($1:12)),),0))</f>
        <v>0</v>
      </c>
      <c r="I23" s="246">
        <f t="shared" ca="1" si="0"/>
        <v>2081100133</v>
      </c>
      <c r="J23" s="246"/>
    </row>
    <row r="24" spans="1:10" s="231" customFormat="1" ht="18" customHeight="1">
      <c r="A24" s="244">
        <f ca="1">IF(ROWS($1:13)&gt;COUNT(Dong2),"",OFFSET(TH!D$1,SMALL(Dong2,ROWS($1:13)),))</f>
        <v>41935</v>
      </c>
      <c r="B24" s="244" t="str">
        <f ca="1">IF(ROWS($1:13)&gt;COUNT(Dong2),"",OFFSET(TH!E$1,SMALL(Dong2,ROWS($1:13)),))</f>
        <v>GBN</v>
      </c>
      <c r="C24" s="244">
        <f ca="1">IF(ROWS($1:13)&gt;COUNT(Dong2),"",OFFSET(TH!F$1,SMALL(Dong2,ROWS($1:13)),))</f>
        <v>41935</v>
      </c>
      <c r="D24" s="272" t="str">
        <f ca="1">IF(ROWS($1:13)&gt;COUNT(Dong2),"",OFFSET(TH!G$1,SMALL(Dong2,ROWS($1:13)),))</f>
        <v>Thanh toán tiền xây dựng - Khánh Trân</v>
      </c>
      <c r="E24" s="272">
        <f ca="1">IF(ROWS($1:13)&gt;COUNT(Dong2),"",OFFSET(TH!H$1,SMALL(Dong2,ROWS($1:13)),))</f>
        <v>0</v>
      </c>
      <c r="F24" s="244" t="str">
        <f ca="1">IF(ROWS($1:13)&gt;COUNT(Dong2),"",IF(OFFSET(TH!L$1,SMALL(Dong2,ROWS($1:13)),)="1121",OFFSET(TH!K$1,SMALL(Dong2,ROWS($1:13)),),OFFSET(TH!L$1,SMALL(Dong2,ROWS($1:13)),)))</f>
        <v>331</v>
      </c>
      <c r="G24" s="245">
        <f ca="1">IF(ROWS($1:13)&gt;COUNT(Dong2),"",IF(OFFSET(TH!K$1,SMALL(Dong2,ROWS($1:13)),)="1121",OFFSET(TH!J$1,SMALL(Dong2,ROWS($1:13)),),0))</f>
        <v>0</v>
      </c>
      <c r="H24" s="245">
        <f ca="1">IF(ROWS($1:13)&gt;COUNT(Dong2),"",IF(OFFSET(TH!L$1,SMALL(Dong2,ROWS($1:13)),)="1121",OFFSET(TH!J$1,SMALL(Dong2,ROWS($1:13)),),0))</f>
        <v>1500000000</v>
      </c>
      <c r="I24" s="246">
        <f t="shared" ca="1" si="0"/>
        <v>581100133</v>
      </c>
      <c r="J24" s="246"/>
    </row>
    <row r="25" spans="1:10" s="231" customFormat="1" ht="18" customHeight="1">
      <c r="A25" s="244">
        <f ca="1">IF(ROWS($1:14)&gt;COUNT(Dong2),"",OFFSET(TH!D$1,SMALL(Dong2,ROWS($1:14)),))</f>
        <v>41935</v>
      </c>
      <c r="B25" s="244" t="str">
        <f ca="1">IF(ROWS($1:14)&gt;COUNT(Dong2),"",OFFSET(TH!E$1,SMALL(Dong2,ROWS($1:14)),))</f>
        <v>GBN</v>
      </c>
      <c r="C25" s="244">
        <f ca="1">IF(ROWS($1:14)&gt;COUNT(Dong2),"",OFFSET(TH!F$1,SMALL(Dong2,ROWS($1:14)),))</f>
        <v>41935</v>
      </c>
      <c r="D25" s="272" t="str">
        <f ca="1">IF(ROWS($1:14)&gt;COUNT(Dong2),"",OFFSET(TH!G$1,SMALL(Dong2,ROWS($1:14)),))</f>
        <v xml:space="preserve">Phí chuyển tiền </v>
      </c>
      <c r="E25" s="272">
        <f ca="1">IF(ROWS($1:14)&gt;COUNT(Dong2),"",OFFSET(TH!H$1,SMALL(Dong2,ROWS($1:14)),))</f>
        <v>0</v>
      </c>
      <c r="F25" s="244" t="str">
        <f ca="1">IF(ROWS($1:14)&gt;COUNT(Dong2),"",IF(OFFSET(TH!L$1,SMALL(Dong2,ROWS($1:14)),)="1121",OFFSET(TH!K$1,SMALL(Dong2,ROWS($1:14)),),OFFSET(TH!L$1,SMALL(Dong2,ROWS($1:14)),)))</f>
        <v>642</v>
      </c>
      <c r="G25" s="245">
        <f ca="1">IF(ROWS($1:14)&gt;COUNT(Dong2),"",IF(OFFSET(TH!K$1,SMALL(Dong2,ROWS($1:14)),)="1121",OFFSET(TH!J$1,SMALL(Dong2,ROWS($1:14)),),0))</f>
        <v>0</v>
      </c>
      <c r="H25" s="245">
        <f ca="1">IF(ROWS($1:14)&gt;COUNT(Dong2),"",IF(OFFSET(TH!L$1,SMALL(Dong2,ROWS($1:14)),)="1121",OFFSET(TH!J$1,SMALL(Dong2,ROWS($1:14)),),0))</f>
        <v>750000</v>
      </c>
      <c r="I25" s="246">
        <f t="shared" ca="1" si="0"/>
        <v>580350133</v>
      </c>
      <c r="J25" s="246"/>
    </row>
    <row r="26" spans="1:10" s="231" customFormat="1" ht="18" customHeight="1">
      <c r="A26" s="244">
        <f ca="1">IF(ROWS($1:15)&gt;COUNT(Dong2),"",OFFSET(TH!D$1,SMALL(Dong2,ROWS($1:15)),))</f>
        <v>41935</v>
      </c>
      <c r="B26" s="244" t="str">
        <f ca="1">IF(ROWS($1:15)&gt;COUNT(Dong2),"",OFFSET(TH!E$1,SMALL(Dong2,ROWS($1:15)),))</f>
        <v>GBN</v>
      </c>
      <c r="C26" s="244">
        <f ca="1">IF(ROWS($1:15)&gt;COUNT(Dong2),"",OFFSET(TH!F$1,SMALL(Dong2,ROWS($1:15)),))</f>
        <v>41935</v>
      </c>
      <c r="D26" s="272" t="str">
        <f ca="1">IF(ROWS($1:15)&gt;COUNT(Dong2),"",OFFSET(TH!G$1,SMALL(Dong2,ROWS($1:15)),))</f>
        <v xml:space="preserve">VAT Phí chuyển tiền </v>
      </c>
      <c r="E26" s="272">
        <f ca="1">IF(ROWS($1:15)&gt;COUNT(Dong2),"",OFFSET(TH!H$1,SMALL(Dong2,ROWS($1:15)),))</f>
        <v>0</v>
      </c>
      <c r="F26" s="244" t="str">
        <f ca="1">IF(ROWS($1:15)&gt;COUNT(Dong2),"",IF(OFFSET(TH!L$1,SMALL(Dong2,ROWS($1:15)),)="1121",OFFSET(TH!K$1,SMALL(Dong2,ROWS($1:15)),),OFFSET(TH!L$1,SMALL(Dong2,ROWS($1:15)),)))</f>
        <v>1331</v>
      </c>
      <c r="G26" s="245">
        <f ca="1">IF(ROWS($1:15)&gt;COUNT(Dong2),"",IF(OFFSET(TH!K$1,SMALL(Dong2,ROWS($1:15)),)="1121",OFFSET(TH!J$1,SMALL(Dong2,ROWS($1:15)),),0))</f>
        <v>0</v>
      </c>
      <c r="H26" s="245">
        <f ca="1">IF(ROWS($1:15)&gt;COUNT(Dong2),"",IF(OFFSET(TH!L$1,SMALL(Dong2,ROWS($1:15)),)="1121",OFFSET(TH!J$1,SMALL(Dong2,ROWS($1:15)),),0))</f>
        <v>75000</v>
      </c>
      <c r="I26" s="246">
        <f t="shared" ca="1" si="0"/>
        <v>580275133</v>
      </c>
      <c r="J26" s="246"/>
    </row>
    <row r="27" spans="1:10" s="231" customFormat="1" ht="18" customHeight="1">
      <c r="A27" s="244">
        <f ca="1">IF(ROWS($1:16)&gt;COUNT(Dong2),"",OFFSET(TH!D$1,SMALL(Dong2,ROWS($1:16)),))</f>
        <v>41936</v>
      </c>
      <c r="B27" s="244" t="str">
        <f ca="1">IF(ROWS($1:16)&gt;COUNT(Dong2),"",OFFSET(TH!E$1,SMALL(Dong2,ROWS($1:16)),))</f>
        <v>GBC</v>
      </c>
      <c r="C27" s="244">
        <f ca="1">IF(ROWS($1:16)&gt;COUNT(Dong2),"",OFFSET(TH!F$1,SMALL(Dong2,ROWS($1:16)),))</f>
        <v>41936</v>
      </c>
      <c r="D27" s="272" t="str">
        <f ca="1">IF(ROWS($1:16)&gt;COUNT(Dong2),"",OFFSET(TH!G$1,SMALL(Dong2,ROWS($1:16)),))</f>
        <v>Lãi tiền gửi</v>
      </c>
      <c r="E27" s="272">
        <f ca="1">IF(ROWS($1:16)&gt;COUNT(Dong2),"",OFFSET(TH!H$1,SMALL(Dong2,ROWS($1:16)),))</f>
        <v>0</v>
      </c>
      <c r="F27" s="244" t="str">
        <f ca="1">IF(ROWS($1:16)&gt;COUNT(Dong2),"",IF(OFFSET(TH!L$1,SMALL(Dong2,ROWS($1:16)),)="1121",OFFSET(TH!K$1,SMALL(Dong2,ROWS($1:16)),),OFFSET(TH!L$1,SMALL(Dong2,ROWS($1:16)),)))</f>
        <v>515</v>
      </c>
      <c r="G27" s="245">
        <f ca="1">IF(ROWS($1:16)&gt;COUNT(Dong2),"",IF(OFFSET(TH!K$1,SMALL(Dong2,ROWS($1:16)),)="1121",OFFSET(TH!J$1,SMALL(Dong2,ROWS($1:16)),),0))</f>
        <v>322248</v>
      </c>
      <c r="H27" s="245">
        <f ca="1">IF(ROWS($1:16)&gt;COUNT(Dong2),"",IF(OFFSET(TH!L$1,SMALL(Dong2,ROWS($1:16)),)="1121",OFFSET(TH!J$1,SMALL(Dong2,ROWS($1:16)),),0))</f>
        <v>0</v>
      </c>
      <c r="I27" s="246">
        <f t="shared" ca="1" si="0"/>
        <v>580597381</v>
      </c>
      <c r="J27" s="246"/>
    </row>
    <row r="28" spans="1:10" s="231" customFormat="1" ht="18" customHeight="1">
      <c r="A28" s="244">
        <f ca="1">IF(ROWS($1:17)&gt;COUNT(Dong2),"",OFFSET(TH!D$1,SMALL(Dong2,ROWS($1:17)),))</f>
        <v>41942</v>
      </c>
      <c r="B28" s="244" t="str">
        <f ca="1">IF(ROWS($1:17)&gt;COUNT(Dong2),"",OFFSET(TH!E$1,SMALL(Dong2,ROWS($1:17)),))</f>
        <v>GBN</v>
      </c>
      <c r="C28" s="244">
        <f ca="1">IF(ROWS($1:17)&gt;COUNT(Dong2),"",OFFSET(TH!F$1,SMALL(Dong2,ROWS($1:17)),))</f>
        <v>41942</v>
      </c>
      <c r="D28" s="272" t="str">
        <f ca="1">IF(ROWS($1:17)&gt;COUNT(Dong2),"",OFFSET(TH!G$1,SMALL(Dong2,ROWS($1:17)),))</f>
        <v>Thanh toán tiền đá - Hồng Rõ</v>
      </c>
      <c r="E28" s="272">
        <f ca="1">IF(ROWS($1:17)&gt;COUNT(Dong2),"",OFFSET(TH!H$1,SMALL(Dong2,ROWS($1:17)),))</f>
        <v>0</v>
      </c>
      <c r="F28" s="244" t="str">
        <f ca="1">IF(ROWS($1:17)&gt;COUNT(Dong2),"",IF(OFFSET(TH!L$1,SMALL(Dong2,ROWS($1:17)),)="1121",OFFSET(TH!K$1,SMALL(Dong2,ROWS($1:17)),),OFFSET(TH!L$1,SMALL(Dong2,ROWS($1:17)),)))</f>
        <v>331</v>
      </c>
      <c r="G28" s="245">
        <f ca="1">IF(ROWS($1:17)&gt;COUNT(Dong2),"",IF(OFFSET(TH!K$1,SMALL(Dong2,ROWS($1:17)),)="1121",OFFSET(TH!J$1,SMALL(Dong2,ROWS($1:17)),),0))</f>
        <v>0</v>
      </c>
      <c r="H28" s="245">
        <f ca="1">IF(ROWS($1:17)&gt;COUNT(Dong2),"",IF(OFFSET(TH!L$1,SMALL(Dong2,ROWS($1:17)),)="1121",OFFSET(TH!J$1,SMALL(Dong2,ROWS($1:17)),),0))</f>
        <v>30800005</v>
      </c>
      <c r="I28" s="246">
        <f t="shared" ca="1" si="0"/>
        <v>549797376</v>
      </c>
      <c r="J28" s="246"/>
    </row>
    <row r="29" spans="1:10" s="231" customFormat="1" ht="18" customHeight="1">
      <c r="A29" s="244">
        <f ca="1">IF(ROWS($1:18)&gt;COUNT(Dong2),"",OFFSET(TH!D$1,SMALL(Dong2,ROWS($1:18)),))</f>
        <v>41942</v>
      </c>
      <c r="B29" s="244" t="str">
        <f ca="1">IF(ROWS($1:18)&gt;COUNT(Dong2),"",OFFSET(TH!E$1,SMALL(Dong2,ROWS($1:18)),))</f>
        <v>GBN</v>
      </c>
      <c r="C29" s="244">
        <f ca="1">IF(ROWS($1:18)&gt;COUNT(Dong2),"",OFFSET(TH!F$1,SMALL(Dong2,ROWS($1:18)),))</f>
        <v>41942</v>
      </c>
      <c r="D29" s="272" t="str">
        <f ca="1">IF(ROWS($1:18)&gt;COUNT(Dong2),"",OFFSET(TH!G$1,SMALL(Dong2,ROWS($1:18)),))</f>
        <v xml:space="preserve">Phí chuyển tiền </v>
      </c>
      <c r="E29" s="272">
        <f ca="1">IF(ROWS($1:18)&gt;COUNT(Dong2),"",OFFSET(TH!H$1,SMALL(Dong2,ROWS($1:18)),))</f>
        <v>0</v>
      </c>
      <c r="F29" s="244" t="str">
        <f ca="1">IF(ROWS($1:18)&gt;COUNT(Dong2),"",IF(OFFSET(TH!L$1,SMALL(Dong2,ROWS($1:18)),)="1121",OFFSET(TH!K$1,SMALL(Dong2,ROWS($1:18)),),OFFSET(TH!L$1,SMALL(Dong2,ROWS($1:18)),)))</f>
        <v>642</v>
      </c>
      <c r="G29" s="245">
        <f ca="1">IF(ROWS($1:18)&gt;COUNT(Dong2),"",IF(OFFSET(TH!K$1,SMALL(Dong2,ROWS($1:18)),)="1121",OFFSET(TH!J$1,SMALL(Dong2,ROWS($1:18)),),0))</f>
        <v>0</v>
      </c>
      <c r="H29" s="245">
        <f ca="1">IF(ROWS($1:18)&gt;COUNT(Dong2),"",IF(OFFSET(TH!L$1,SMALL(Dong2,ROWS($1:18)),)="1121",OFFSET(TH!J$1,SMALL(Dong2,ROWS($1:18)),),0))</f>
        <v>25000</v>
      </c>
      <c r="I29" s="246">
        <f t="shared" ca="1" si="0"/>
        <v>549772376</v>
      </c>
      <c r="J29" s="246"/>
    </row>
    <row r="30" spans="1:10" s="231" customFormat="1" ht="18" customHeight="1">
      <c r="A30" s="244">
        <f ca="1">IF(ROWS($1:19)&gt;COUNT(Dong2),"",OFFSET(TH!D$1,SMALL(Dong2,ROWS($1:19)),))</f>
        <v>41942</v>
      </c>
      <c r="B30" s="244" t="str">
        <f ca="1">IF(ROWS($1:19)&gt;COUNT(Dong2),"",OFFSET(TH!E$1,SMALL(Dong2,ROWS($1:19)),))</f>
        <v>GBN</v>
      </c>
      <c r="C30" s="244">
        <f ca="1">IF(ROWS($1:19)&gt;COUNT(Dong2),"",OFFSET(TH!F$1,SMALL(Dong2,ROWS($1:19)),))</f>
        <v>41942</v>
      </c>
      <c r="D30" s="272" t="str">
        <f ca="1">IF(ROWS($1:19)&gt;COUNT(Dong2),"",OFFSET(TH!G$1,SMALL(Dong2,ROWS($1:19)),))</f>
        <v xml:space="preserve">VAT Phí chuyển tiền </v>
      </c>
      <c r="E30" s="272">
        <f ca="1">IF(ROWS($1:19)&gt;COUNT(Dong2),"",OFFSET(TH!H$1,SMALL(Dong2,ROWS($1:19)),))</f>
        <v>0</v>
      </c>
      <c r="F30" s="244" t="str">
        <f ca="1">IF(ROWS($1:19)&gt;COUNT(Dong2),"",IF(OFFSET(TH!L$1,SMALL(Dong2,ROWS($1:19)),)="1121",OFFSET(TH!K$1,SMALL(Dong2,ROWS($1:19)),),OFFSET(TH!L$1,SMALL(Dong2,ROWS($1:19)),)))</f>
        <v>1331</v>
      </c>
      <c r="G30" s="245">
        <f ca="1">IF(ROWS($1:19)&gt;COUNT(Dong2),"",IF(OFFSET(TH!K$1,SMALL(Dong2,ROWS($1:19)),)="1121",OFFSET(TH!J$1,SMALL(Dong2,ROWS($1:19)),),0))</f>
        <v>0</v>
      </c>
      <c r="H30" s="245">
        <f ca="1">IF(ROWS($1:19)&gt;COUNT(Dong2),"",IF(OFFSET(TH!L$1,SMALL(Dong2,ROWS($1:19)),)="1121",OFFSET(TH!J$1,SMALL(Dong2,ROWS($1:19)),),0))</f>
        <v>2500</v>
      </c>
      <c r="I30" s="246">
        <f t="shared" ca="1" si="0"/>
        <v>549769876</v>
      </c>
      <c r="J30" s="246"/>
    </row>
    <row r="31" spans="1:10" s="231" customFormat="1" ht="18" customHeight="1">
      <c r="A31" s="244">
        <f ca="1">IF(ROWS($1:20)&gt;COUNT(Dong2),"",OFFSET(TH!D$1,SMALL(Dong2,ROWS($1:20)),))</f>
        <v>41942</v>
      </c>
      <c r="B31" s="244" t="str">
        <f ca="1">IF(ROWS($1:20)&gt;COUNT(Dong2),"",OFFSET(TH!E$1,SMALL(Dong2,ROWS($1:20)),))</f>
        <v>GBN</v>
      </c>
      <c r="C31" s="244">
        <f ca="1">IF(ROWS($1:20)&gt;COUNT(Dong2),"",OFFSET(TH!F$1,SMALL(Dong2,ROWS($1:20)),))</f>
        <v>41942</v>
      </c>
      <c r="D31" s="272" t="str">
        <f ca="1">IF(ROWS($1:20)&gt;COUNT(Dong2),"",OFFSET(TH!G$1,SMALL(Dong2,ROWS($1:20)),))</f>
        <v>Ứng tiền cọc betong Tân Tài</v>
      </c>
      <c r="E31" s="272">
        <f ca="1">IF(ROWS($1:20)&gt;COUNT(Dong2),"",OFFSET(TH!H$1,SMALL(Dong2,ROWS($1:20)),))</f>
        <v>0</v>
      </c>
      <c r="F31" s="244" t="str">
        <f ca="1">IF(ROWS($1:20)&gt;COUNT(Dong2),"",IF(OFFSET(TH!L$1,SMALL(Dong2,ROWS($1:20)),)="1121",OFFSET(TH!K$1,SMALL(Dong2,ROWS($1:20)),),OFFSET(TH!L$1,SMALL(Dong2,ROWS($1:20)),)))</f>
        <v>331</v>
      </c>
      <c r="G31" s="245">
        <f ca="1">IF(ROWS($1:20)&gt;COUNT(Dong2),"",IF(OFFSET(TH!K$1,SMALL(Dong2,ROWS($1:20)),)="1121",OFFSET(TH!J$1,SMALL(Dong2,ROWS($1:20)),),0))</f>
        <v>0</v>
      </c>
      <c r="H31" s="245">
        <f ca="1">IF(ROWS($1:20)&gt;COUNT(Dong2),"",IF(OFFSET(TH!L$1,SMALL(Dong2,ROWS($1:20)),)="1121",OFFSET(TH!J$1,SMALL(Dong2,ROWS($1:20)),),0))</f>
        <v>49000000</v>
      </c>
      <c r="I31" s="246">
        <f t="shared" ca="1" si="0"/>
        <v>500769876</v>
      </c>
      <c r="J31" s="246"/>
    </row>
    <row r="32" spans="1:10" s="231" customFormat="1" ht="18" customHeight="1">
      <c r="A32" s="244">
        <f ca="1">IF(ROWS($1:21)&gt;COUNT(Dong2),"",OFFSET(TH!D$1,SMALL(Dong2,ROWS($1:21)),))</f>
        <v>41942</v>
      </c>
      <c r="B32" s="244" t="str">
        <f ca="1">IF(ROWS($1:21)&gt;COUNT(Dong2),"",OFFSET(TH!E$1,SMALL(Dong2,ROWS($1:21)),))</f>
        <v>GBN</v>
      </c>
      <c r="C32" s="244">
        <f ca="1">IF(ROWS($1:21)&gt;COUNT(Dong2),"",OFFSET(TH!F$1,SMALL(Dong2,ROWS($1:21)),))</f>
        <v>41942</v>
      </c>
      <c r="D32" s="272" t="str">
        <f ca="1">IF(ROWS($1:21)&gt;COUNT(Dong2),"",OFFSET(TH!G$1,SMALL(Dong2,ROWS($1:21)),))</f>
        <v xml:space="preserve">Phí chuyển tiền </v>
      </c>
      <c r="E32" s="272">
        <f ca="1">IF(ROWS($1:21)&gt;COUNT(Dong2),"",OFFSET(TH!H$1,SMALL(Dong2,ROWS($1:21)),))</f>
        <v>0</v>
      </c>
      <c r="F32" s="244" t="str">
        <f ca="1">IF(ROWS($1:21)&gt;COUNT(Dong2),"",IF(OFFSET(TH!L$1,SMALL(Dong2,ROWS($1:21)),)="1121",OFFSET(TH!K$1,SMALL(Dong2,ROWS($1:21)),),OFFSET(TH!L$1,SMALL(Dong2,ROWS($1:21)),)))</f>
        <v>642</v>
      </c>
      <c r="G32" s="245">
        <f ca="1">IF(ROWS($1:21)&gt;COUNT(Dong2),"",IF(OFFSET(TH!K$1,SMALL(Dong2,ROWS($1:21)),)="1121",OFFSET(TH!J$1,SMALL(Dong2,ROWS($1:21)),),0))</f>
        <v>0</v>
      </c>
      <c r="H32" s="245">
        <f ca="1">IF(ROWS($1:21)&gt;COUNT(Dong2),"",IF(OFFSET(TH!L$1,SMALL(Dong2,ROWS($1:21)),)="1121",OFFSET(TH!J$1,SMALL(Dong2,ROWS($1:21)),),0))</f>
        <v>25000</v>
      </c>
      <c r="I32" s="246">
        <f t="shared" ca="1" si="0"/>
        <v>500744876</v>
      </c>
      <c r="J32" s="246"/>
    </row>
    <row r="33" spans="1:10" s="231" customFormat="1" ht="18" customHeight="1">
      <c r="A33" s="244">
        <f ca="1">IF(ROWS($1:22)&gt;COUNT(Dong2),"",OFFSET(TH!D$1,SMALL(Dong2,ROWS($1:22)),))</f>
        <v>41942</v>
      </c>
      <c r="B33" s="244" t="str">
        <f ca="1">IF(ROWS($1:22)&gt;COUNT(Dong2),"",OFFSET(TH!E$1,SMALL(Dong2,ROWS($1:22)),))</f>
        <v>GBN</v>
      </c>
      <c r="C33" s="244">
        <f ca="1">IF(ROWS($1:22)&gt;COUNT(Dong2),"",OFFSET(TH!F$1,SMALL(Dong2,ROWS($1:22)),))</f>
        <v>41942</v>
      </c>
      <c r="D33" s="272" t="str">
        <f ca="1">IF(ROWS($1:22)&gt;COUNT(Dong2),"",OFFSET(TH!G$1,SMALL(Dong2,ROWS($1:22)),))</f>
        <v xml:space="preserve">VAT Phí chuyển tiền </v>
      </c>
      <c r="E33" s="272">
        <f ca="1">IF(ROWS($1:22)&gt;COUNT(Dong2),"",OFFSET(TH!H$1,SMALL(Dong2,ROWS($1:22)),))</f>
        <v>0</v>
      </c>
      <c r="F33" s="244" t="str">
        <f ca="1">IF(ROWS($1:22)&gt;COUNT(Dong2),"",IF(OFFSET(TH!L$1,SMALL(Dong2,ROWS($1:22)),)="1121",OFFSET(TH!K$1,SMALL(Dong2,ROWS($1:22)),),OFFSET(TH!L$1,SMALL(Dong2,ROWS($1:22)),)))</f>
        <v>1331</v>
      </c>
      <c r="G33" s="245">
        <f ca="1">IF(ROWS($1:22)&gt;COUNT(Dong2),"",IF(OFFSET(TH!K$1,SMALL(Dong2,ROWS($1:22)),)="1121",OFFSET(TH!J$1,SMALL(Dong2,ROWS($1:22)),),0))</f>
        <v>0</v>
      </c>
      <c r="H33" s="245">
        <f ca="1">IF(ROWS($1:22)&gt;COUNT(Dong2),"",IF(OFFSET(TH!L$1,SMALL(Dong2,ROWS($1:22)),)="1121",OFFSET(TH!J$1,SMALL(Dong2,ROWS($1:22)),),0))</f>
        <v>2500</v>
      </c>
      <c r="I33" s="246">
        <f t="shared" ref="I33:I52" ca="1" si="1">IF(A33&lt;&gt;"",I32+G33-H33,0)</f>
        <v>500742376</v>
      </c>
      <c r="J33" s="246"/>
    </row>
    <row r="34" spans="1:10" s="231" customFormat="1" ht="18" customHeight="1">
      <c r="A34" s="244">
        <f ca="1">IF(ROWS($1:23)&gt;COUNT(Dong2),"",OFFSET(TH!D$1,SMALL(Dong2,ROWS($1:23)),))</f>
        <v>41942</v>
      </c>
      <c r="B34" s="244" t="str">
        <f ca="1">IF(ROWS($1:23)&gt;COUNT(Dong2),"",OFFSET(TH!E$1,SMALL(Dong2,ROWS($1:23)),))</f>
        <v>GBN</v>
      </c>
      <c r="C34" s="244">
        <f ca="1">IF(ROWS($1:23)&gt;COUNT(Dong2),"",OFFSET(TH!F$1,SMALL(Dong2,ROWS($1:23)),))</f>
        <v>41942</v>
      </c>
      <c r="D34" s="272" t="str">
        <f ca="1">IF(ROWS($1:23)&gt;COUNT(Dong2),"",OFFSET(TH!G$1,SMALL(Dong2,ROWS($1:23)),))</f>
        <v>Thanh toán tiền xây dựng</v>
      </c>
      <c r="E34" s="272">
        <f ca="1">IF(ROWS($1:23)&gt;COUNT(Dong2),"",OFFSET(TH!H$1,SMALL(Dong2,ROWS($1:23)),))</f>
        <v>0</v>
      </c>
      <c r="F34" s="244" t="str">
        <f ca="1">IF(ROWS($1:23)&gt;COUNT(Dong2),"",IF(OFFSET(TH!L$1,SMALL(Dong2,ROWS($1:23)),)="1121",OFFSET(TH!K$1,SMALL(Dong2,ROWS($1:23)),),OFFSET(TH!L$1,SMALL(Dong2,ROWS($1:23)),)))</f>
        <v>331</v>
      </c>
      <c r="G34" s="245">
        <f ca="1">IF(ROWS($1:23)&gt;COUNT(Dong2),"",IF(OFFSET(TH!K$1,SMALL(Dong2,ROWS($1:23)),)="1121",OFFSET(TH!J$1,SMALL(Dong2,ROWS($1:23)),),0))</f>
        <v>0</v>
      </c>
      <c r="H34" s="245">
        <f ca="1">IF(ROWS($1:23)&gt;COUNT(Dong2),"",IF(OFFSET(TH!L$1,SMALL(Dong2,ROWS($1:23)),)="1121",OFFSET(TH!J$1,SMALL(Dong2,ROWS($1:23)),),0))</f>
        <v>500000000</v>
      </c>
      <c r="I34" s="246">
        <f t="shared" ca="1" si="1"/>
        <v>742376</v>
      </c>
      <c r="J34" s="246"/>
    </row>
    <row r="35" spans="1:10" s="231" customFormat="1" ht="18" customHeight="1">
      <c r="A35" s="244">
        <f ca="1">IF(ROWS($1:24)&gt;COUNT(Dong2),"",OFFSET(TH!D$1,SMALL(Dong2,ROWS($1:24)),))</f>
        <v>41942</v>
      </c>
      <c r="B35" s="244" t="str">
        <f ca="1">IF(ROWS($1:24)&gt;COUNT(Dong2),"",OFFSET(TH!E$1,SMALL(Dong2,ROWS($1:24)),))</f>
        <v>GBN</v>
      </c>
      <c r="C35" s="244">
        <f ca="1">IF(ROWS($1:24)&gt;COUNT(Dong2),"",OFFSET(TH!F$1,SMALL(Dong2,ROWS($1:24)),))</f>
        <v>41942</v>
      </c>
      <c r="D35" s="272" t="str">
        <f ca="1">IF(ROWS($1:24)&gt;COUNT(Dong2),"",OFFSET(TH!G$1,SMALL(Dong2,ROWS($1:24)),))</f>
        <v xml:space="preserve">Phí chuyển tiền </v>
      </c>
      <c r="E35" s="272">
        <f ca="1">IF(ROWS($1:24)&gt;COUNT(Dong2),"",OFFSET(TH!H$1,SMALL(Dong2,ROWS($1:24)),))</f>
        <v>0</v>
      </c>
      <c r="F35" s="244" t="str">
        <f ca="1">IF(ROWS($1:24)&gt;COUNT(Dong2),"",IF(OFFSET(TH!L$1,SMALL(Dong2,ROWS($1:24)),)="1121",OFFSET(TH!K$1,SMALL(Dong2,ROWS($1:24)),),OFFSET(TH!L$1,SMALL(Dong2,ROWS($1:24)),)))</f>
        <v>642</v>
      </c>
      <c r="G35" s="245">
        <f ca="1">IF(ROWS($1:24)&gt;COUNT(Dong2),"",IF(OFFSET(TH!K$1,SMALL(Dong2,ROWS($1:24)),)="1121",OFFSET(TH!J$1,SMALL(Dong2,ROWS($1:24)),),0))</f>
        <v>0</v>
      </c>
      <c r="H35" s="245">
        <f ca="1">IF(ROWS($1:24)&gt;COUNT(Dong2),"",IF(OFFSET(TH!L$1,SMALL(Dong2,ROWS($1:24)),)="1121",OFFSET(TH!J$1,SMALL(Dong2,ROWS($1:24)),),0))</f>
        <v>150000</v>
      </c>
      <c r="I35" s="246">
        <f t="shared" ca="1" si="1"/>
        <v>592376</v>
      </c>
      <c r="J35" s="246"/>
    </row>
    <row r="36" spans="1:10" s="231" customFormat="1" ht="18" customHeight="1">
      <c r="A36" s="244">
        <f ca="1">IF(ROWS($1:25)&gt;COUNT(Dong2),"",OFFSET(TH!D$1,SMALL(Dong2,ROWS($1:25)),))</f>
        <v>41942</v>
      </c>
      <c r="B36" s="244" t="str">
        <f ca="1">IF(ROWS($1:25)&gt;COUNT(Dong2),"",OFFSET(TH!E$1,SMALL(Dong2,ROWS($1:25)),))</f>
        <v>GBN</v>
      </c>
      <c r="C36" s="244">
        <f ca="1">IF(ROWS($1:25)&gt;COUNT(Dong2),"",OFFSET(TH!F$1,SMALL(Dong2,ROWS($1:25)),))</f>
        <v>41942</v>
      </c>
      <c r="D36" s="272" t="str">
        <f ca="1">IF(ROWS($1:25)&gt;COUNT(Dong2),"",OFFSET(TH!G$1,SMALL(Dong2,ROWS($1:25)),))</f>
        <v xml:space="preserve">VAT Phí chuyển tiền </v>
      </c>
      <c r="E36" s="272">
        <f ca="1">IF(ROWS($1:25)&gt;COUNT(Dong2),"",OFFSET(TH!H$1,SMALL(Dong2,ROWS($1:25)),))</f>
        <v>0</v>
      </c>
      <c r="F36" s="244" t="str">
        <f ca="1">IF(ROWS($1:25)&gt;COUNT(Dong2),"",IF(OFFSET(TH!L$1,SMALL(Dong2,ROWS($1:25)),)="1121",OFFSET(TH!K$1,SMALL(Dong2,ROWS($1:25)),),OFFSET(TH!L$1,SMALL(Dong2,ROWS($1:25)),)))</f>
        <v>1331</v>
      </c>
      <c r="G36" s="245">
        <f ca="1">IF(ROWS($1:25)&gt;COUNT(Dong2),"",IF(OFFSET(TH!K$1,SMALL(Dong2,ROWS($1:25)),)="1121",OFFSET(TH!J$1,SMALL(Dong2,ROWS($1:25)),),0))</f>
        <v>0</v>
      </c>
      <c r="H36" s="245">
        <f ca="1">IF(ROWS($1:25)&gt;COUNT(Dong2),"",IF(OFFSET(TH!L$1,SMALL(Dong2,ROWS($1:25)),)="1121",OFFSET(TH!J$1,SMALL(Dong2,ROWS($1:25)),),0))</f>
        <v>15000</v>
      </c>
      <c r="I36" s="246">
        <f t="shared" ca="1" si="1"/>
        <v>577376</v>
      </c>
      <c r="J36" s="246"/>
    </row>
    <row r="37" spans="1:10" s="231" customFormat="1" ht="18" customHeight="1">
      <c r="A37" s="244">
        <f ca="1">IF(ROWS($1:26)&gt;COUNT(Dong2),"",OFFSET(TH!D$1,SMALL(Dong2,ROWS($1:26)),))</f>
        <v>41963</v>
      </c>
      <c r="B37" s="244" t="str">
        <f ca="1">IF(ROWS($1:26)&gt;COUNT(Dong2),"",OFFSET(TH!E$1,SMALL(Dong2,ROWS($1:26)),))</f>
        <v>GBC</v>
      </c>
      <c r="C37" s="244">
        <f ca="1">IF(ROWS($1:26)&gt;COUNT(Dong2),"",OFFSET(TH!F$1,SMALL(Dong2,ROWS($1:26)),))</f>
        <v>41963</v>
      </c>
      <c r="D37" s="272" t="str">
        <f ca="1">IF(ROWS($1:26)&gt;COUNT(Dong2),"",OFFSET(TH!G$1,SMALL(Dong2,ROWS($1:26)),))</f>
        <v>An Lạc LA- Ứng vốn</v>
      </c>
      <c r="E37" s="272">
        <f ca="1">IF(ROWS($1:26)&gt;COUNT(Dong2),"",OFFSET(TH!H$1,SMALL(Dong2,ROWS($1:26)),))</f>
        <v>0</v>
      </c>
      <c r="F37" s="244" t="str">
        <f ca="1">IF(ROWS($1:26)&gt;COUNT(Dong2),"",IF(OFFSET(TH!L$1,SMALL(Dong2,ROWS($1:26)),)="1121",OFFSET(TH!K$1,SMALL(Dong2,ROWS($1:26)),),OFFSET(TH!L$1,SMALL(Dong2,ROWS($1:26)),)))</f>
        <v>3388</v>
      </c>
      <c r="G37" s="245">
        <f ca="1">IF(ROWS($1:26)&gt;COUNT(Dong2),"",IF(OFFSET(TH!K$1,SMALL(Dong2,ROWS($1:26)),)="1121",OFFSET(TH!J$1,SMALL(Dong2,ROWS($1:26)),),0))</f>
        <v>40500000</v>
      </c>
      <c r="H37" s="245">
        <f ca="1">IF(ROWS($1:26)&gt;COUNT(Dong2),"",IF(OFFSET(TH!L$1,SMALL(Dong2,ROWS($1:26)),)="1121",OFFSET(TH!J$1,SMALL(Dong2,ROWS($1:26)),),0))</f>
        <v>0</v>
      </c>
      <c r="I37" s="246">
        <f t="shared" ca="1" si="1"/>
        <v>41077376</v>
      </c>
      <c r="J37" s="246"/>
    </row>
    <row r="38" spans="1:10" s="231" customFormat="1" ht="18" customHeight="1">
      <c r="A38" s="244">
        <f ca="1">IF(ROWS($1:27)&gt;COUNT(Dong2),"",OFFSET(TH!D$1,SMALL(Dong2,ROWS($1:27)),))</f>
        <v>41963</v>
      </c>
      <c r="B38" s="244" t="str">
        <f ca="1">IF(ROWS($1:27)&gt;COUNT(Dong2),"",OFFSET(TH!E$1,SMALL(Dong2,ROWS($1:27)),))</f>
        <v>GBN</v>
      </c>
      <c r="C38" s="244">
        <f ca="1">IF(ROWS($1:27)&gt;COUNT(Dong2),"",OFFSET(TH!F$1,SMALL(Dong2,ROWS($1:27)),))</f>
        <v>41963</v>
      </c>
      <c r="D38" s="272" t="str">
        <f ca="1">IF(ROWS($1:27)&gt;COUNT(Dong2),"",OFFSET(TH!G$1,SMALL(Dong2,ROWS($1:27)),))</f>
        <v xml:space="preserve">Lãi vay KU 1402LDS201401630 </v>
      </c>
      <c r="E38" s="272">
        <f ca="1">IF(ROWS($1:27)&gt;COUNT(Dong2),"",OFFSET(TH!H$1,SMALL(Dong2,ROWS($1:27)),))</f>
        <v>0</v>
      </c>
      <c r="F38" s="244" t="str">
        <f ca="1">IF(ROWS($1:27)&gt;COUNT(Dong2),"",IF(OFFSET(TH!L$1,SMALL(Dong2,ROWS($1:27)),)="1121",OFFSET(TH!K$1,SMALL(Dong2,ROWS($1:27)),),OFFSET(TH!L$1,SMALL(Dong2,ROWS($1:27)),)))</f>
        <v>635</v>
      </c>
      <c r="G38" s="245">
        <f ca="1">IF(ROWS($1:27)&gt;COUNT(Dong2),"",IF(OFFSET(TH!K$1,SMALL(Dong2,ROWS($1:27)),)="1121",OFFSET(TH!J$1,SMALL(Dong2,ROWS($1:27)),),0))</f>
        <v>0</v>
      </c>
      <c r="H38" s="245">
        <f ca="1">IF(ROWS($1:27)&gt;COUNT(Dong2),"",IF(OFFSET(TH!L$1,SMALL(Dong2,ROWS($1:27)),)="1121",OFFSET(TH!J$1,SMALL(Dong2,ROWS($1:27)),),0))</f>
        <v>8614699</v>
      </c>
      <c r="I38" s="246">
        <f t="shared" ca="1" si="1"/>
        <v>32462677</v>
      </c>
      <c r="J38" s="246"/>
    </row>
    <row r="39" spans="1:10" s="231" customFormat="1" ht="18" customHeight="1">
      <c r="A39" s="244">
        <f ca="1">IF(ROWS($1:28)&gt;COUNT(Dong2),"",OFFSET(TH!D$1,SMALL(Dong2,ROWS($1:28)),))</f>
        <v>41963</v>
      </c>
      <c r="B39" s="244" t="str">
        <f ca="1">IF(ROWS($1:28)&gt;COUNT(Dong2),"",OFFSET(TH!E$1,SMALL(Dong2,ROWS($1:28)),))</f>
        <v>GBN</v>
      </c>
      <c r="C39" s="244">
        <f ca="1">IF(ROWS($1:28)&gt;COUNT(Dong2),"",OFFSET(TH!F$1,SMALL(Dong2,ROWS($1:28)),))</f>
        <v>41963</v>
      </c>
      <c r="D39" s="272" t="str">
        <f ca="1">IF(ROWS($1:28)&gt;COUNT(Dong2),"",OFFSET(TH!G$1,SMALL(Dong2,ROWS($1:28)),))</f>
        <v>Lãi vay KU 1402LDS201402000</v>
      </c>
      <c r="E39" s="272">
        <f ca="1">IF(ROWS($1:28)&gt;COUNT(Dong2),"",OFFSET(TH!H$1,SMALL(Dong2,ROWS($1:28)),))</f>
        <v>0</v>
      </c>
      <c r="F39" s="244" t="str">
        <f ca="1">IF(ROWS($1:28)&gt;COUNT(Dong2),"",IF(OFFSET(TH!L$1,SMALL(Dong2,ROWS($1:28)),)="1121",OFFSET(TH!K$1,SMALL(Dong2,ROWS($1:28)),),OFFSET(TH!L$1,SMALL(Dong2,ROWS($1:28)),)))</f>
        <v>635</v>
      </c>
      <c r="G39" s="245">
        <f ca="1">IF(ROWS($1:28)&gt;COUNT(Dong2),"",IF(OFFSET(TH!K$1,SMALL(Dong2,ROWS($1:28)),)="1121",OFFSET(TH!J$1,SMALL(Dong2,ROWS($1:28)),),0))</f>
        <v>0</v>
      </c>
      <c r="H39" s="245">
        <f ca="1">IF(ROWS($1:28)&gt;COUNT(Dong2),"",IF(OFFSET(TH!L$1,SMALL(Dong2,ROWS($1:28)),)="1121",OFFSET(TH!J$1,SMALL(Dong2,ROWS($1:28)),),0))</f>
        <v>31679861</v>
      </c>
      <c r="I39" s="246">
        <f t="shared" ca="1" si="1"/>
        <v>782816</v>
      </c>
      <c r="J39" s="246"/>
    </row>
    <row r="40" spans="1:10" s="231" customFormat="1" ht="18" customHeight="1">
      <c r="A40" s="244">
        <f ca="1">IF(ROWS($1:29)&gt;COUNT(Dong2),"",OFFSET(TH!D$1,SMALL(Dong2,ROWS($1:29)),))</f>
        <v>41963</v>
      </c>
      <c r="B40" s="244" t="str">
        <f ca="1">IF(ROWS($1:29)&gt;COUNT(Dong2),"",OFFSET(TH!E$1,SMALL(Dong2,ROWS($1:29)),))</f>
        <v>GBN</v>
      </c>
      <c r="C40" s="244">
        <f ca="1">IF(ROWS($1:29)&gt;COUNT(Dong2),"",OFFSET(TH!F$1,SMALL(Dong2,ROWS($1:29)),))</f>
        <v>41963</v>
      </c>
      <c r="D40" s="272" t="str">
        <f ca="1">IF(ROWS($1:29)&gt;COUNT(Dong2),"",OFFSET(TH!G$1,SMALL(Dong2,ROWS($1:29)),))</f>
        <v>Thanh toán tiền xây dựng - Khánh Trân</v>
      </c>
      <c r="E40" s="272">
        <f ca="1">IF(ROWS($1:29)&gt;COUNT(Dong2),"",OFFSET(TH!H$1,SMALL(Dong2,ROWS($1:29)),))</f>
        <v>0</v>
      </c>
      <c r="F40" s="244" t="str">
        <f ca="1">IF(ROWS($1:29)&gt;COUNT(Dong2),"",IF(OFFSET(TH!L$1,SMALL(Dong2,ROWS($1:29)),)="1121",OFFSET(TH!K$1,SMALL(Dong2,ROWS($1:29)),),OFFSET(TH!L$1,SMALL(Dong2,ROWS($1:29)),)))</f>
        <v>331</v>
      </c>
      <c r="G40" s="245">
        <f ca="1">IF(ROWS($1:29)&gt;COUNT(Dong2),"",IF(OFFSET(TH!K$1,SMALL(Dong2,ROWS($1:29)),)="1121",OFFSET(TH!J$1,SMALL(Dong2,ROWS($1:29)),),0))</f>
        <v>0</v>
      </c>
      <c r="H40" s="245">
        <f ca="1">IF(ROWS($1:29)&gt;COUNT(Dong2),"",IF(OFFSET(TH!L$1,SMALL(Dong2,ROWS($1:29)),)="1121",OFFSET(TH!J$1,SMALL(Dong2,ROWS($1:29)),),0))</f>
        <v>1000000000</v>
      </c>
      <c r="I40" s="246">
        <f t="shared" ca="1" si="1"/>
        <v>-999217184</v>
      </c>
      <c r="J40" s="246"/>
    </row>
    <row r="41" spans="1:10" s="231" customFormat="1" ht="18" customHeight="1">
      <c r="A41" s="244">
        <f ca="1">IF(ROWS($1:30)&gt;COUNT(Dong2),"",OFFSET(TH!D$1,SMALL(Dong2,ROWS($1:30)),))</f>
        <v>41963</v>
      </c>
      <c r="B41" s="244" t="str">
        <f ca="1">IF(ROWS($1:30)&gt;COUNT(Dong2),"",OFFSET(TH!E$1,SMALL(Dong2,ROWS($1:30)),))</f>
        <v>GBN</v>
      </c>
      <c r="C41" s="244">
        <f ca="1">IF(ROWS($1:30)&gt;COUNT(Dong2),"",OFFSET(TH!F$1,SMALL(Dong2,ROWS($1:30)),))</f>
        <v>41963</v>
      </c>
      <c r="D41" s="272" t="str">
        <f ca="1">IF(ROWS($1:30)&gt;COUNT(Dong2),"",OFFSET(TH!G$1,SMALL(Dong2,ROWS($1:30)),))</f>
        <v xml:space="preserve">Phí chuyển tiền </v>
      </c>
      <c r="E41" s="272">
        <f ca="1">IF(ROWS($1:30)&gt;COUNT(Dong2),"",OFFSET(TH!H$1,SMALL(Dong2,ROWS($1:30)),))</f>
        <v>0</v>
      </c>
      <c r="F41" s="244" t="str">
        <f ca="1">IF(ROWS($1:30)&gt;COUNT(Dong2),"",IF(OFFSET(TH!L$1,SMALL(Dong2,ROWS($1:30)),)="1121",OFFSET(TH!K$1,SMALL(Dong2,ROWS($1:30)),),OFFSET(TH!L$1,SMALL(Dong2,ROWS($1:30)),)))</f>
        <v>642</v>
      </c>
      <c r="G41" s="245">
        <f ca="1">IF(ROWS($1:30)&gt;COUNT(Dong2),"",IF(OFFSET(TH!K$1,SMALL(Dong2,ROWS($1:30)),)="1121",OFFSET(TH!J$1,SMALL(Dong2,ROWS($1:30)),),0))</f>
        <v>0</v>
      </c>
      <c r="H41" s="245">
        <f ca="1">IF(ROWS($1:30)&gt;COUNT(Dong2),"",IF(OFFSET(TH!L$1,SMALL(Dong2,ROWS($1:30)),)="1121",OFFSET(TH!J$1,SMALL(Dong2,ROWS($1:30)),),0))</f>
        <v>500000</v>
      </c>
      <c r="I41" s="246">
        <f t="shared" ca="1" si="1"/>
        <v>-999717184</v>
      </c>
      <c r="J41" s="246"/>
    </row>
    <row r="42" spans="1:10" s="231" customFormat="1" ht="18" customHeight="1">
      <c r="A42" s="244">
        <f ca="1">IF(ROWS($1:31)&gt;COUNT(Dong2),"",OFFSET(TH!D$1,SMALL(Dong2,ROWS($1:31)),))</f>
        <v>41963</v>
      </c>
      <c r="B42" s="244" t="str">
        <f ca="1">IF(ROWS($1:31)&gt;COUNT(Dong2),"",OFFSET(TH!E$1,SMALL(Dong2,ROWS($1:31)),))</f>
        <v>GBN</v>
      </c>
      <c r="C42" s="244">
        <f ca="1">IF(ROWS($1:31)&gt;COUNT(Dong2),"",OFFSET(TH!F$1,SMALL(Dong2,ROWS($1:31)),))</f>
        <v>41963</v>
      </c>
      <c r="D42" s="272" t="str">
        <f ca="1">IF(ROWS($1:31)&gt;COUNT(Dong2),"",OFFSET(TH!G$1,SMALL(Dong2,ROWS($1:31)),))</f>
        <v xml:space="preserve">VAT Phí chuyển tiền </v>
      </c>
      <c r="E42" s="272">
        <f ca="1">IF(ROWS($1:31)&gt;COUNT(Dong2),"",OFFSET(TH!H$1,SMALL(Dong2,ROWS($1:31)),))</f>
        <v>0</v>
      </c>
      <c r="F42" s="244" t="str">
        <f ca="1">IF(ROWS($1:31)&gt;COUNT(Dong2),"",IF(OFFSET(TH!L$1,SMALL(Dong2,ROWS($1:31)),)="1121",OFFSET(TH!K$1,SMALL(Dong2,ROWS($1:31)),),OFFSET(TH!L$1,SMALL(Dong2,ROWS($1:31)),)))</f>
        <v>1331</v>
      </c>
      <c r="G42" s="245">
        <f ca="1">IF(ROWS($1:31)&gt;COUNT(Dong2),"",IF(OFFSET(TH!K$1,SMALL(Dong2,ROWS($1:31)),)="1121",OFFSET(TH!J$1,SMALL(Dong2,ROWS($1:31)),),0))</f>
        <v>0</v>
      </c>
      <c r="H42" s="245">
        <f ca="1">IF(ROWS($1:31)&gt;COUNT(Dong2),"",IF(OFFSET(TH!L$1,SMALL(Dong2,ROWS($1:31)),)="1121",OFFSET(TH!J$1,SMALL(Dong2,ROWS($1:31)),),0))</f>
        <v>50000</v>
      </c>
      <c r="I42" s="246">
        <f t="shared" ca="1" si="1"/>
        <v>-999767184</v>
      </c>
      <c r="J42" s="246"/>
    </row>
    <row r="43" spans="1:10" s="231" customFormat="1" ht="18" customHeight="1">
      <c r="A43" s="244">
        <f ca="1">IF(ROWS($1:32)&gt;COUNT(Dong2),"",OFFSET(TH!D$1,SMALL(Dong2,ROWS($1:32)),))</f>
        <v>41963</v>
      </c>
      <c r="B43" s="244" t="str">
        <f ca="1">IF(ROWS($1:32)&gt;COUNT(Dong2),"",OFFSET(TH!E$1,SMALL(Dong2,ROWS($1:32)),))</f>
        <v>GBC</v>
      </c>
      <c r="C43" s="244">
        <f ca="1">IF(ROWS($1:32)&gt;COUNT(Dong2),"",OFFSET(TH!F$1,SMALL(Dong2,ROWS($1:32)),))</f>
        <v>41963</v>
      </c>
      <c r="D43" s="272" t="str">
        <f ca="1">IF(ROWS($1:32)&gt;COUNT(Dong2),"",OFFSET(TH!G$1,SMALL(Dong2,ROWS($1:32)),))</f>
        <v>Vay KU 1402LDS201402740</v>
      </c>
      <c r="E43" s="272">
        <f ca="1">IF(ROWS($1:32)&gt;COUNT(Dong2),"",OFFSET(TH!H$1,SMALL(Dong2,ROWS($1:32)),))</f>
        <v>0</v>
      </c>
      <c r="F43" s="244" t="str">
        <f ca="1">IF(ROWS($1:32)&gt;COUNT(Dong2),"",IF(OFFSET(TH!L$1,SMALL(Dong2,ROWS($1:32)),)="1121",OFFSET(TH!K$1,SMALL(Dong2,ROWS($1:32)),),OFFSET(TH!L$1,SMALL(Dong2,ROWS($1:32)),)))</f>
        <v>3411</v>
      </c>
      <c r="G43" s="245">
        <f ca="1">IF(ROWS($1:32)&gt;COUNT(Dong2),"",IF(OFFSET(TH!K$1,SMALL(Dong2,ROWS($1:32)),)="1121",OFFSET(TH!J$1,SMALL(Dong2,ROWS($1:32)),),0))</f>
        <v>1500000000</v>
      </c>
      <c r="H43" s="245">
        <f ca="1">IF(ROWS($1:32)&gt;COUNT(Dong2),"",IF(OFFSET(TH!L$1,SMALL(Dong2,ROWS($1:32)),)="1121",OFFSET(TH!J$1,SMALL(Dong2,ROWS($1:32)),),0))</f>
        <v>0</v>
      </c>
      <c r="I43" s="246">
        <f t="shared" ca="1" si="1"/>
        <v>500232816</v>
      </c>
      <c r="J43" s="246"/>
    </row>
    <row r="44" spans="1:10" s="231" customFormat="1" ht="18" customHeight="1">
      <c r="A44" s="244">
        <f ca="1">IF(ROWS($1:33)&gt;COUNT(Dong2),"",OFFSET(TH!D$1,SMALL(Dong2,ROWS($1:33)),))</f>
        <v>41968</v>
      </c>
      <c r="B44" s="244" t="str">
        <f ca="1">IF(ROWS($1:33)&gt;COUNT(Dong2),"",OFFSET(TH!E$1,SMALL(Dong2,ROWS($1:33)),))</f>
        <v>GBC</v>
      </c>
      <c r="C44" s="244">
        <f ca="1">IF(ROWS($1:33)&gt;COUNT(Dong2),"",OFFSET(TH!F$1,SMALL(Dong2,ROWS($1:33)),))</f>
        <v>41968</v>
      </c>
      <c r="D44" s="272" t="str">
        <f ca="1">IF(ROWS($1:33)&gt;COUNT(Dong2),"",OFFSET(TH!G$1,SMALL(Dong2,ROWS($1:33)),))</f>
        <v>Lãi tiền gửi</v>
      </c>
      <c r="E44" s="272">
        <f ca="1">IF(ROWS($1:33)&gt;COUNT(Dong2),"",OFFSET(TH!H$1,SMALL(Dong2,ROWS($1:33)),))</f>
        <v>0</v>
      </c>
      <c r="F44" s="244" t="str">
        <f ca="1">IF(ROWS($1:33)&gt;COUNT(Dong2),"",IF(OFFSET(TH!L$1,SMALL(Dong2,ROWS($1:33)),)="1121",OFFSET(TH!K$1,SMALL(Dong2,ROWS($1:33)),),OFFSET(TH!L$1,SMALL(Dong2,ROWS($1:33)),)))</f>
        <v>515</v>
      </c>
      <c r="G44" s="245">
        <f ca="1">IF(ROWS($1:33)&gt;COUNT(Dong2),"",IF(OFFSET(TH!K$1,SMALL(Dong2,ROWS($1:33)),)="1121",OFFSET(TH!J$1,SMALL(Dong2,ROWS($1:33)),),0))</f>
        <v>61267</v>
      </c>
      <c r="H44" s="245">
        <f ca="1">IF(ROWS($1:33)&gt;COUNT(Dong2),"",IF(OFFSET(TH!L$1,SMALL(Dong2,ROWS($1:33)),)="1121",OFFSET(TH!J$1,SMALL(Dong2,ROWS($1:33)),),0))</f>
        <v>0</v>
      </c>
      <c r="I44" s="246">
        <f t="shared" ca="1" si="1"/>
        <v>500294083</v>
      </c>
      <c r="J44" s="246"/>
    </row>
    <row r="45" spans="1:10" s="231" customFormat="1" ht="18" customHeight="1">
      <c r="A45" s="244">
        <f ca="1">IF(ROWS($1:34)&gt;COUNT(Dong2),"",OFFSET(TH!D$1,SMALL(Dong2,ROWS($1:34)),))</f>
        <v>41984</v>
      </c>
      <c r="B45" s="244" t="str">
        <f ca="1">IF(ROWS($1:34)&gt;COUNT(Dong2),"",OFFSET(TH!E$1,SMALL(Dong2,ROWS($1:34)),))</f>
        <v>GBN</v>
      </c>
      <c r="C45" s="244">
        <f ca="1">IF(ROWS($1:34)&gt;COUNT(Dong2),"",OFFSET(TH!F$1,SMALL(Dong2,ROWS($1:34)),))</f>
        <v>41984</v>
      </c>
      <c r="D45" s="272" t="str">
        <f ca="1">IF(ROWS($1:34)&gt;COUNT(Dong2),"",OFFSET(TH!G$1,SMALL(Dong2,ROWS($1:34)),))</f>
        <v>Thanh toán tiền xây dựng - Khánh Trân</v>
      </c>
      <c r="E45" s="272">
        <f ca="1">IF(ROWS($1:34)&gt;COUNT(Dong2),"",OFFSET(TH!H$1,SMALL(Dong2,ROWS($1:34)),))</f>
        <v>0</v>
      </c>
      <c r="F45" s="244" t="str">
        <f ca="1">IF(ROWS($1:34)&gt;COUNT(Dong2),"",IF(OFFSET(TH!L$1,SMALL(Dong2,ROWS($1:34)),)="1121",OFFSET(TH!K$1,SMALL(Dong2,ROWS($1:34)),),OFFSET(TH!L$1,SMALL(Dong2,ROWS($1:34)),)))</f>
        <v>331</v>
      </c>
      <c r="G45" s="245">
        <f ca="1">IF(ROWS($1:34)&gt;COUNT(Dong2),"",IF(OFFSET(TH!K$1,SMALL(Dong2,ROWS($1:34)),)="1121",OFFSET(TH!J$1,SMALL(Dong2,ROWS($1:34)),),0))</f>
        <v>0</v>
      </c>
      <c r="H45" s="245">
        <f ca="1">IF(ROWS($1:34)&gt;COUNT(Dong2),"",IF(OFFSET(TH!L$1,SMALL(Dong2,ROWS($1:34)),)="1121",OFFSET(TH!J$1,SMALL(Dong2,ROWS($1:34)),),0))</f>
        <v>1000000000</v>
      </c>
      <c r="I45" s="246">
        <f t="shared" ca="1" si="1"/>
        <v>-499705917</v>
      </c>
      <c r="J45" s="246"/>
    </row>
    <row r="46" spans="1:10" s="231" customFormat="1" ht="18" customHeight="1">
      <c r="A46" s="244">
        <f ca="1">IF(ROWS($1:35)&gt;COUNT(Dong2),"",OFFSET(TH!D$1,SMALL(Dong2,ROWS($1:35)),))</f>
        <v>41984</v>
      </c>
      <c r="B46" s="244" t="str">
        <f ca="1">IF(ROWS($1:35)&gt;COUNT(Dong2),"",OFFSET(TH!E$1,SMALL(Dong2,ROWS($1:35)),))</f>
        <v>GBC</v>
      </c>
      <c r="C46" s="244">
        <f ca="1">IF(ROWS($1:35)&gt;COUNT(Dong2),"",OFFSET(TH!F$1,SMALL(Dong2,ROWS($1:35)),))</f>
        <v>41984</v>
      </c>
      <c r="D46" s="272" t="str">
        <f ca="1">IF(ROWS($1:35)&gt;COUNT(Dong2),"",OFFSET(TH!G$1,SMALL(Dong2,ROWS($1:35)),))</f>
        <v>Vay KU 1402LDS201403045</v>
      </c>
      <c r="E46" s="272">
        <f ca="1">IF(ROWS($1:35)&gt;COUNT(Dong2),"",OFFSET(TH!H$1,SMALL(Dong2,ROWS($1:35)),))</f>
        <v>0</v>
      </c>
      <c r="F46" s="244" t="str">
        <f ca="1">IF(ROWS($1:35)&gt;COUNT(Dong2),"",IF(OFFSET(TH!L$1,SMALL(Dong2,ROWS($1:35)),)="1121",OFFSET(TH!K$1,SMALL(Dong2,ROWS($1:35)),),OFFSET(TH!L$1,SMALL(Dong2,ROWS($1:35)),)))</f>
        <v>3411</v>
      </c>
      <c r="G46" s="245">
        <f ca="1">IF(ROWS($1:35)&gt;COUNT(Dong2),"",IF(OFFSET(TH!K$1,SMALL(Dong2,ROWS($1:35)),)="1121",OFFSET(TH!J$1,SMALL(Dong2,ROWS($1:35)),),0))</f>
        <v>1000000000</v>
      </c>
      <c r="H46" s="245">
        <f ca="1">IF(ROWS($1:35)&gt;COUNT(Dong2),"",IF(OFFSET(TH!L$1,SMALL(Dong2,ROWS($1:35)),)="1121",OFFSET(TH!J$1,SMALL(Dong2,ROWS($1:35)),),0))</f>
        <v>0</v>
      </c>
      <c r="I46" s="246">
        <f t="shared" ca="1" si="1"/>
        <v>500294083</v>
      </c>
      <c r="J46" s="246"/>
    </row>
    <row r="47" spans="1:10" s="231" customFormat="1" ht="18" customHeight="1">
      <c r="A47" s="244">
        <f ca="1">IF(ROWS($1:36)&gt;COUNT(Dong2),"",OFFSET(TH!D$1,SMALL(Dong2,ROWS($1:36)),))</f>
        <v>41993</v>
      </c>
      <c r="B47" s="244" t="str">
        <f ca="1">IF(ROWS($1:36)&gt;COUNT(Dong2),"",OFFSET(TH!E$1,SMALL(Dong2,ROWS($1:36)),))</f>
        <v>GBN</v>
      </c>
      <c r="C47" s="244">
        <f ca="1">IF(ROWS($1:36)&gt;COUNT(Dong2),"",OFFSET(TH!F$1,SMALL(Dong2,ROWS($1:36)),))</f>
        <v>41993</v>
      </c>
      <c r="D47" s="272" t="str">
        <f ca="1">IF(ROWS($1:36)&gt;COUNT(Dong2),"",OFFSET(TH!G$1,SMALL(Dong2,ROWS($1:36)),))</f>
        <v>Lãi vay KU 1402LDS201401630</v>
      </c>
      <c r="E47" s="272">
        <f ca="1">IF(ROWS($1:36)&gt;COUNT(Dong2),"",OFFSET(TH!H$1,SMALL(Dong2,ROWS($1:36)),))</f>
        <v>0</v>
      </c>
      <c r="F47" s="244" t="str">
        <f ca="1">IF(ROWS($1:36)&gt;COUNT(Dong2),"",IF(OFFSET(TH!L$1,SMALL(Dong2,ROWS($1:36)),)="1121",OFFSET(TH!K$1,SMALL(Dong2,ROWS($1:36)),),OFFSET(TH!L$1,SMALL(Dong2,ROWS($1:36)),)))</f>
        <v>635</v>
      </c>
      <c r="G47" s="245">
        <f ca="1">IF(ROWS($1:36)&gt;COUNT(Dong2),"",IF(OFFSET(TH!K$1,SMALL(Dong2,ROWS($1:36)),)="1121",OFFSET(TH!J$1,SMALL(Dong2,ROWS($1:36)),),0))</f>
        <v>0</v>
      </c>
      <c r="H47" s="245">
        <f ca="1">IF(ROWS($1:36)&gt;COUNT(Dong2),"",IF(OFFSET(TH!L$1,SMALL(Dong2,ROWS($1:36)),)="1121",OFFSET(TH!J$1,SMALL(Dong2,ROWS($1:36)),),0))</f>
        <v>8336805</v>
      </c>
      <c r="I47" s="246">
        <f t="shared" ca="1" si="1"/>
        <v>491957278</v>
      </c>
      <c r="J47" s="246"/>
    </row>
    <row r="48" spans="1:10" s="231" customFormat="1" ht="18" customHeight="1">
      <c r="A48" s="244">
        <f ca="1">IF(ROWS($1:37)&gt;COUNT(Dong2),"",OFFSET(TH!D$1,SMALL(Dong2,ROWS($1:37)),))</f>
        <v>41993</v>
      </c>
      <c r="B48" s="244" t="str">
        <f ca="1">IF(ROWS($1:37)&gt;COUNT(Dong2),"",OFFSET(TH!E$1,SMALL(Dong2,ROWS($1:37)),))</f>
        <v>GBN</v>
      </c>
      <c r="C48" s="244">
        <f ca="1">IF(ROWS($1:37)&gt;COUNT(Dong2),"",OFFSET(TH!F$1,SMALL(Dong2,ROWS($1:37)),))</f>
        <v>41993</v>
      </c>
      <c r="D48" s="272" t="str">
        <f ca="1">IF(ROWS($1:37)&gt;COUNT(Dong2),"",OFFSET(TH!G$1,SMALL(Dong2,ROWS($1:37)),))</f>
        <v>Lãi vay KU 1402LDS201402000</v>
      </c>
      <c r="E48" s="272">
        <f ca="1">IF(ROWS($1:37)&gt;COUNT(Dong2),"",OFFSET(TH!H$1,SMALL(Dong2,ROWS($1:37)),))</f>
        <v>0</v>
      </c>
      <c r="F48" s="244" t="str">
        <f ca="1">IF(ROWS($1:37)&gt;COUNT(Dong2),"",IF(OFFSET(TH!L$1,SMALL(Dong2,ROWS($1:37)),)="1121",OFFSET(TH!K$1,SMALL(Dong2,ROWS($1:37)),),OFFSET(TH!L$1,SMALL(Dong2,ROWS($1:37)),)))</f>
        <v>635</v>
      </c>
      <c r="G48" s="245">
        <f ca="1">IF(ROWS($1:37)&gt;COUNT(Dong2),"",IF(OFFSET(TH!K$1,SMALL(Dong2,ROWS($1:37)),)="1121",OFFSET(TH!J$1,SMALL(Dong2,ROWS($1:37)),),0))</f>
        <v>0</v>
      </c>
      <c r="H48" s="245">
        <f ca="1">IF(ROWS($1:37)&gt;COUNT(Dong2),"",IF(OFFSET(TH!L$1,SMALL(Dong2,ROWS($1:37)),)="1121",OFFSET(TH!J$1,SMALL(Dong2,ROWS($1:37)),),0))</f>
        <v>16673611</v>
      </c>
      <c r="I48" s="246">
        <f t="shared" ca="1" si="1"/>
        <v>475283667</v>
      </c>
      <c r="J48" s="246"/>
    </row>
    <row r="49" spans="1:10" s="231" customFormat="1" ht="18" customHeight="1">
      <c r="A49" s="244">
        <f ca="1">IF(ROWS($1:38)&gt;COUNT(Dong2),"",OFFSET(TH!D$1,SMALL(Dong2,ROWS($1:38)),))</f>
        <v>41993</v>
      </c>
      <c r="B49" s="244" t="str">
        <f ca="1">IF(ROWS($1:38)&gt;COUNT(Dong2),"",OFFSET(TH!E$1,SMALL(Dong2,ROWS($1:38)),))</f>
        <v>GBN</v>
      </c>
      <c r="C49" s="244">
        <f ca="1">IF(ROWS($1:38)&gt;COUNT(Dong2),"",OFFSET(TH!F$1,SMALL(Dong2,ROWS($1:38)),))</f>
        <v>41993</v>
      </c>
      <c r="D49" s="272" t="str">
        <f ca="1">IF(ROWS($1:38)&gt;COUNT(Dong2),"",OFFSET(TH!G$1,SMALL(Dong2,ROWS($1:38)),))</f>
        <v>Lãi vay KU 1402LDS201402374</v>
      </c>
      <c r="E49" s="272">
        <f ca="1">IF(ROWS($1:38)&gt;COUNT(Dong2),"",OFFSET(TH!H$1,SMALL(Dong2,ROWS($1:38)),))</f>
        <v>0</v>
      </c>
      <c r="F49" s="244" t="str">
        <f ca="1">IF(ROWS($1:38)&gt;COUNT(Dong2),"",IF(OFFSET(TH!L$1,SMALL(Dong2,ROWS($1:38)),)="1121",OFFSET(TH!K$1,SMALL(Dong2,ROWS($1:38)),),OFFSET(TH!L$1,SMALL(Dong2,ROWS($1:38)),)))</f>
        <v>635</v>
      </c>
      <c r="G49" s="245">
        <f ca="1">IF(ROWS($1:38)&gt;COUNT(Dong2),"",IF(OFFSET(TH!K$1,SMALL(Dong2,ROWS($1:38)),)="1121",OFFSET(TH!J$1,SMALL(Dong2,ROWS($1:38)),),0))</f>
        <v>0</v>
      </c>
      <c r="H49" s="245">
        <f ca="1">IF(ROWS($1:38)&gt;COUNT(Dong2),"",IF(OFFSET(TH!L$1,SMALL(Dong2,ROWS($1:38)),)="1121",OFFSET(TH!J$1,SMALL(Dong2,ROWS($1:38)),),0))</f>
        <v>25788519</v>
      </c>
      <c r="I49" s="246">
        <f t="shared" ca="1" si="1"/>
        <v>449495148</v>
      </c>
      <c r="J49" s="246"/>
    </row>
    <row r="50" spans="1:10" s="231" customFormat="1" ht="18" customHeight="1">
      <c r="A50" s="244">
        <f ca="1">IF(ROWS($1:39)&gt;COUNT(Dong2),"",OFFSET(TH!D$1,SMALL(Dong2,ROWS($1:39)),))</f>
        <v>41993</v>
      </c>
      <c r="B50" s="244" t="str">
        <f ca="1">IF(ROWS($1:39)&gt;COUNT(Dong2),"",OFFSET(TH!E$1,SMALL(Dong2,ROWS($1:39)),))</f>
        <v>C19</v>
      </c>
      <c r="C50" s="244">
        <f ca="1">IF(ROWS($1:39)&gt;COUNT(Dong2),"",OFFSET(TH!F$1,SMALL(Dong2,ROWS($1:39)),))</f>
        <v>41993</v>
      </c>
      <c r="D50" s="272" t="str">
        <f ca="1">IF(ROWS($1:39)&gt;COUNT(Dong2),"",OFFSET(TH!G$1,SMALL(Dong2,ROWS($1:39)),))</f>
        <v>Nộp tiền mặt vào tài khoản ngân hàng</v>
      </c>
      <c r="E50" s="272">
        <f ca="1">IF(ROWS($1:39)&gt;COUNT(Dong2),"",OFFSET(TH!H$1,SMALL(Dong2,ROWS($1:39)),))</f>
        <v>0</v>
      </c>
      <c r="F50" s="244" t="str">
        <f ca="1">IF(ROWS($1:39)&gt;COUNT(Dong2),"",IF(OFFSET(TH!L$1,SMALL(Dong2,ROWS($1:39)),)="1121",OFFSET(TH!K$1,SMALL(Dong2,ROWS($1:39)),),OFFSET(TH!L$1,SMALL(Dong2,ROWS($1:39)),)))</f>
        <v>1111</v>
      </c>
      <c r="G50" s="245">
        <f ca="1">IF(ROWS($1:39)&gt;COUNT(Dong2),"",IF(OFFSET(TH!K$1,SMALL(Dong2,ROWS($1:39)),)="1121",OFFSET(TH!J$1,SMALL(Dong2,ROWS($1:39)),),0))</f>
        <v>51000000</v>
      </c>
      <c r="H50" s="245">
        <f ca="1">IF(ROWS($1:39)&gt;COUNT(Dong2),"",IF(OFFSET(TH!L$1,SMALL(Dong2,ROWS($1:39)),)="1121",OFFSET(TH!J$1,SMALL(Dong2,ROWS($1:39)),),0))</f>
        <v>0</v>
      </c>
      <c r="I50" s="246">
        <f t="shared" ca="1" si="1"/>
        <v>500495148</v>
      </c>
      <c r="J50" s="246"/>
    </row>
    <row r="51" spans="1:10" s="231" customFormat="1" ht="18" customHeight="1">
      <c r="A51" s="244">
        <f ca="1">IF(ROWS($1:40)&gt;COUNT(Dong2),"",OFFSET(TH!D$1,SMALL(Dong2,ROWS($1:40)),))</f>
        <v>41996</v>
      </c>
      <c r="B51" s="244" t="str">
        <f ca="1">IF(ROWS($1:40)&gt;COUNT(Dong2),"",OFFSET(TH!E$1,SMALL(Dong2,ROWS($1:40)),))</f>
        <v>GBN</v>
      </c>
      <c r="C51" s="244">
        <f ca="1">IF(ROWS($1:40)&gt;COUNT(Dong2),"",OFFSET(TH!F$1,SMALL(Dong2,ROWS($1:40)),))</f>
        <v>41996</v>
      </c>
      <c r="D51" s="272" t="str">
        <f ca="1">IF(ROWS($1:40)&gt;COUNT(Dong2),"",OFFSET(TH!G$1,SMALL(Dong2,ROWS($1:40)),))</f>
        <v>Phí duy trì DV SMS - 0903921945</v>
      </c>
      <c r="E51" s="272">
        <f ca="1">IF(ROWS($1:40)&gt;COUNT(Dong2),"",OFFSET(TH!H$1,SMALL(Dong2,ROWS($1:40)),))</f>
        <v>0</v>
      </c>
      <c r="F51" s="244" t="str">
        <f ca="1">IF(ROWS($1:40)&gt;COUNT(Dong2),"",IF(OFFSET(TH!L$1,SMALL(Dong2,ROWS($1:40)),)="1121",OFFSET(TH!K$1,SMALL(Dong2,ROWS($1:40)),),OFFSET(TH!L$1,SMALL(Dong2,ROWS($1:40)),)))</f>
        <v>642</v>
      </c>
      <c r="G51" s="245">
        <f ca="1">IF(ROWS($1:40)&gt;COUNT(Dong2),"",IF(OFFSET(TH!K$1,SMALL(Dong2,ROWS($1:40)),)="1121",OFFSET(TH!J$1,SMALL(Dong2,ROWS($1:40)),),0))</f>
        <v>0</v>
      </c>
      <c r="H51" s="245">
        <f ca="1">IF(ROWS($1:40)&gt;COUNT(Dong2),"",IF(OFFSET(TH!L$1,SMALL(Dong2,ROWS($1:40)),)="1121",OFFSET(TH!J$1,SMALL(Dong2,ROWS($1:40)),),0))</f>
        <v>50000</v>
      </c>
      <c r="I51" s="246">
        <f t="shared" ca="1" si="1"/>
        <v>500445148</v>
      </c>
      <c r="J51" s="246"/>
    </row>
    <row r="52" spans="1:10" s="231" customFormat="1" ht="18" customHeight="1">
      <c r="A52" s="244">
        <f ca="1">IF(ROWS($1:41)&gt;COUNT(Dong2),"",OFFSET(TH!D$1,SMALL(Dong2,ROWS($1:41)),))</f>
        <v>41996</v>
      </c>
      <c r="B52" s="244" t="str">
        <f ca="1">IF(ROWS($1:41)&gt;COUNT(Dong2),"",OFFSET(TH!E$1,SMALL(Dong2,ROWS($1:41)),))</f>
        <v>GBN</v>
      </c>
      <c r="C52" s="244">
        <f ca="1">IF(ROWS($1:41)&gt;COUNT(Dong2),"",OFFSET(TH!F$1,SMALL(Dong2,ROWS($1:41)),))</f>
        <v>41996</v>
      </c>
      <c r="D52" s="272" t="str">
        <f ca="1">IF(ROWS($1:41)&gt;COUNT(Dong2),"",OFFSET(TH!G$1,SMALL(Dong2,ROWS($1:41)),))</f>
        <v>VAT Phí duy trì DV SMS</v>
      </c>
      <c r="E52" s="272">
        <f ca="1">IF(ROWS($1:41)&gt;COUNT(Dong2),"",OFFSET(TH!H$1,SMALL(Dong2,ROWS($1:41)),))</f>
        <v>0</v>
      </c>
      <c r="F52" s="244" t="str">
        <f ca="1">IF(ROWS($1:41)&gt;COUNT(Dong2),"",IF(OFFSET(TH!L$1,SMALL(Dong2,ROWS($1:41)),)="1121",OFFSET(TH!K$1,SMALL(Dong2,ROWS($1:41)),),OFFSET(TH!L$1,SMALL(Dong2,ROWS($1:41)),)))</f>
        <v>1331</v>
      </c>
      <c r="G52" s="245">
        <f ca="1">IF(ROWS($1:41)&gt;COUNT(Dong2),"",IF(OFFSET(TH!K$1,SMALL(Dong2,ROWS($1:41)),)="1121",OFFSET(TH!J$1,SMALL(Dong2,ROWS($1:41)),),0))</f>
        <v>0</v>
      </c>
      <c r="H52" s="245">
        <f ca="1">IF(ROWS($1:41)&gt;COUNT(Dong2),"",IF(OFFSET(TH!L$1,SMALL(Dong2,ROWS($1:41)),)="1121",OFFSET(TH!J$1,SMALL(Dong2,ROWS($1:41)),),0))</f>
        <v>5000</v>
      </c>
      <c r="I52" s="246">
        <f t="shared" ca="1" si="1"/>
        <v>500440148</v>
      </c>
      <c r="J52" s="246"/>
    </row>
    <row r="53" spans="1:10" s="231" customFormat="1" ht="18" customHeight="1">
      <c r="A53" s="244">
        <f ca="1">IF(ROWS($1:42)&gt;COUNT(Dong2),"",OFFSET(TH!D$1,SMALL(Dong2,ROWS($1:42)),))</f>
        <v>41996</v>
      </c>
      <c r="B53" s="244" t="str">
        <f ca="1">IF(ROWS($1:42)&gt;COUNT(Dong2),"",OFFSET(TH!E$1,SMALL(Dong2,ROWS($1:42)),))</f>
        <v>GBN</v>
      </c>
      <c r="C53" s="244">
        <f ca="1">IF(ROWS($1:42)&gt;COUNT(Dong2),"",OFFSET(TH!F$1,SMALL(Dong2,ROWS($1:42)),))</f>
        <v>41996</v>
      </c>
      <c r="D53" s="272" t="str">
        <f ca="1">IF(ROWS($1:42)&gt;COUNT(Dong2),"",OFFSET(TH!G$1,SMALL(Dong2,ROWS($1:42)),))</f>
        <v>Phí duy trì DV SMS - 0913906967</v>
      </c>
      <c r="E53" s="272">
        <f ca="1">IF(ROWS($1:42)&gt;COUNT(Dong2),"",OFFSET(TH!H$1,SMALL(Dong2,ROWS($1:42)),))</f>
        <v>0</v>
      </c>
      <c r="F53" s="244" t="str">
        <f ca="1">IF(ROWS($1:42)&gt;COUNT(Dong2),"",IF(OFFSET(TH!L$1,SMALL(Dong2,ROWS($1:42)),)="1121",OFFSET(TH!K$1,SMALL(Dong2,ROWS($1:42)),),OFFSET(TH!L$1,SMALL(Dong2,ROWS($1:42)),)))</f>
        <v>642</v>
      </c>
      <c r="G53" s="245">
        <f ca="1">IF(ROWS($1:42)&gt;COUNT(Dong2),"",IF(OFFSET(TH!K$1,SMALL(Dong2,ROWS($1:42)),)="1121",OFFSET(TH!J$1,SMALL(Dong2,ROWS($1:42)),),0))</f>
        <v>0</v>
      </c>
      <c r="H53" s="245">
        <f ca="1">IF(ROWS($1:42)&gt;COUNT(Dong2),"",IF(OFFSET(TH!L$1,SMALL(Dong2,ROWS($1:42)),)="1121",OFFSET(TH!J$1,SMALL(Dong2,ROWS($1:42)),),0))</f>
        <v>50000</v>
      </c>
      <c r="I53" s="246">
        <f t="shared" ref="I53:I65" ca="1" si="2">IF(A53&lt;&gt;"",I52+G53-H53,0)</f>
        <v>500390148</v>
      </c>
      <c r="J53" s="246"/>
    </row>
    <row r="54" spans="1:10" s="231" customFormat="1" ht="18" customHeight="1">
      <c r="A54" s="244">
        <f ca="1">IF(ROWS($1:43)&gt;COUNT(Dong2),"",OFFSET(TH!D$1,SMALL(Dong2,ROWS($1:43)),))</f>
        <v>41996</v>
      </c>
      <c r="B54" s="244" t="str">
        <f ca="1">IF(ROWS($1:43)&gt;COUNT(Dong2),"",OFFSET(TH!E$1,SMALL(Dong2,ROWS($1:43)),))</f>
        <v>GBN</v>
      </c>
      <c r="C54" s="244">
        <f ca="1">IF(ROWS($1:43)&gt;COUNT(Dong2),"",OFFSET(TH!F$1,SMALL(Dong2,ROWS($1:43)),))</f>
        <v>41996</v>
      </c>
      <c r="D54" s="272" t="str">
        <f ca="1">IF(ROWS($1:43)&gt;COUNT(Dong2),"",OFFSET(TH!G$1,SMALL(Dong2,ROWS($1:43)),))</f>
        <v>VAT Phí duy trì DV SMS</v>
      </c>
      <c r="E54" s="272">
        <f ca="1">IF(ROWS($1:43)&gt;COUNT(Dong2),"",OFFSET(TH!H$1,SMALL(Dong2,ROWS($1:43)),))</f>
        <v>0</v>
      </c>
      <c r="F54" s="244" t="str">
        <f ca="1">IF(ROWS($1:43)&gt;COUNT(Dong2),"",IF(OFFSET(TH!L$1,SMALL(Dong2,ROWS($1:43)),)="1121",OFFSET(TH!K$1,SMALL(Dong2,ROWS($1:43)),),OFFSET(TH!L$1,SMALL(Dong2,ROWS($1:43)),)))</f>
        <v>1331</v>
      </c>
      <c r="G54" s="245">
        <f ca="1">IF(ROWS($1:43)&gt;COUNT(Dong2),"",IF(OFFSET(TH!K$1,SMALL(Dong2,ROWS($1:43)),)="1121",OFFSET(TH!J$1,SMALL(Dong2,ROWS($1:43)),),0))</f>
        <v>0</v>
      </c>
      <c r="H54" s="245">
        <f ca="1">IF(ROWS($1:43)&gt;COUNT(Dong2),"",IF(OFFSET(TH!L$1,SMALL(Dong2,ROWS($1:43)),)="1121",OFFSET(TH!J$1,SMALL(Dong2,ROWS($1:43)),),0))</f>
        <v>5000</v>
      </c>
      <c r="I54" s="246">
        <f t="shared" ca="1" si="2"/>
        <v>500385148</v>
      </c>
      <c r="J54" s="246"/>
    </row>
    <row r="55" spans="1:10" s="231" customFormat="1" ht="18" customHeight="1">
      <c r="A55" s="244">
        <f ca="1">IF(ROWS($1:44)&gt;COUNT(Dong2),"",OFFSET(TH!D$1,SMALL(Dong2,ROWS($1:44)),))</f>
        <v>41996</v>
      </c>
      <c r="B55" s="244" t="str">
        <f ca="1">IF(ROWS($1:44)&gt;COUNT(Dong2),"",OFFSET(TH!E$1,SMALL(Dong2,ROWS($1:44)),))</f>
        <v>GBN</v>
      </c>
      <c r="C55" s="244">
        <f ca="1">IF(ROWS($1:44)&gt;COUNT(Dong2),"",OFFSET(TH!F$1,SMALL(Dong2,ROWS($1:44)),))</f>
        <v>41996</v>
      </c>
      <c r="D55" s="272" t="str">
        <f ca="1">IF(ROWS($1:44)&gt;COUNT(Dong2),"",OFFSET(TH!G$1,SMALL(Dong2,ROWS($1:44)),))</f>
        <v>Phí duy trì DV SMS - 0982911262</v>
      </c>
      <c r="E55" s="272">
        <f ca="1">IF(ROWS($1:44)&gt;COUNT(Dong2),"",OFFSET(TH!H$1,SMALL(Dong2,ROWS($1:44)),))</f>
        <v>0</v>
      </c>
      <c r="F55" s="244" t="str">
        <f ca="1">IF(ROWS($1:44)&gt;COUNT(Dong2),"",IF(OFFSET(TH!L$1,SMALL(Dong2,ROWS($1:44)),)="1121",OFFSET(TH!K$1,SMALL(Dong2,ROWS($1:44)),),OFFSET(TH!L$1,SMALL(Dong2,ROWS($1:44)),)))</f>
        <v>642</v>
      </c>
      <c r="G55" s="245">
        <f ca="1">IF(ROWS($1:44)&gt;COUNT(Dong2),"",IF(OFFSET(TH!K$1,SMALL(Dong2,ROWS($1:44)),)="1121",OFFSET(TH!J$1,SMALL(Dong2,ROWS($1:44)),),0))</f>
        <v>0</v>
      </c>
      <c r="H55" s="245">
        <f ca="1">IF(ROWS($1:44)&gt;COUNT(Dong2),"",IF(OFFSET(TH!L$1,SMALL(Dong2,ROWS($1:44)),)="1121",OFFSET(TH!J$1,SMALL(Dong2,ROWS($1:44)),),0))</f>
        <v>50000</v>
      </c>
      <c r="I55" s="246">
        <f t="shared" ca="1" si="2"/>
        <v>500335148</v>
      </c>
      <c r="J55" s="246"/>
    </row>
    <row r="56" spans="1:10" s="231" customFormat="1" ht="18" customHeight="1">
      <c r="A56" s="244">
        <f ca="1">IF(ROWS($1:45)&gt;COUNT(Dong2),"",OFFSET(TH!D$1,SMALL(Dong2,ROWS($1:45)),))</f>
        <v>41996</v>
      </c>
      <c r="B56" s="244" t="str">
        <f ca="1">IF(ROWS($1:45)&gt;COUNT(Dong2),"",OFFSET(TH!E$1,SMALL(Dong2,ROWS($1:45)),))</f>
        <v>GBN</v>
      </c>
      <c r="C56" s="244">
        <f ca="1">IF(ROWS($1:45)&gt;COUNT(Dong2),"",OFFSET(TH!F$1,SMALL(Dong2,ROWS($1:45)),))</f>
        <v>41996</v>
      </c>
      <c r="D56" s="272" t="str">
        <f ca="1">IF(ROWS($1:45)&gt;COUNT(Dong2),"",OFFSET(TH!G$1,SMALL(Dong2,ROWS($1:45)),))</f>
        <v>VAT Phí duy trì DV SMS</v>
      </c>
      <c r="E56" s="272">
        <f ca="1">IF(ROWS($1:45)&gt;COUNT(Dong2),"",OFFSET(TH!H$1,SMALL(Dong2,ROWS($1:45)),))</f>
        <v>0</v>
      </c>
      <c r="F56" s="244" t="str">
        <f ca="1">IF(ROWS($1:45)&gt;COUNT(Dong2),"",IF(OFFSET(TH!L$1,SMALL(Dong2,ROWS($1:45)),)="1121",OFFSET(TH!K$1,SMALL(Dong2,ROWS($1:45)),),OFFSET(TH!L$1,SMALL(Dong2,ROWS($1:45)),)))</f>
        <v>1331</v>
      </c>
      <c r="G56" s="245">
        <f ca="1">IF(ROWS($1:45)&gt;COUNT(Dong2),"",IF(OFFSET(TH!K$1,SMALL(Dong2,ROWS($1:45)),)="1121",OFFSET(TH!J$1,SMALL(Dong2,ROWS($1:45)),),0))</f>
        <v>0</v>
      </c>
      <c r="H56" s="245">
        <f ca="1">IF(ROWS($1:45)&gt;COUNT(Dong2),"",IF(OFFSET(TH!L$1,SMALL(Dong2,ROWS($1:45)),)="1121",OFFSET(TH!J$1,SMALL(Dong2,ROWS($1:45)),),0))</f>
        <v>5000</v>
      </c>
      <c r="I56" s="246">
        <f t="shared" ca="1" si="2"/>
        <v>500330148</v>
      </c>
      <c r="J56" s="246"/>
    </row>
    <row r="57" spans="1:10" s="231" customFormat="1" ht="18" customHeight="1">
      <c r="A57" s="244">
        <f ca="1">IF(ROWS($1:46)&gt;COUNT(Dong2),"",OFFSET(TH!D$1,SMALL(Dong2,ROWS($1:46)),))</f>
        <v>41998</v>
      </c>
      <c r="B57" s="244" t="str">
        <f ca="1">IF(ROWS($1:46)&gt;COUNT(Dong2),"",OFFSET(TH!E$1,SMALL(Dong2,ROWS($1:46)),))</f>
        <v>GBC</v>
      </c>
      <c r="C57" s="244">
        <f ca="1">IF(ROWS($1:46)&gt;COUNT(Dong2),"",OFFSET(TH!F$1,SMALL(Dong2,ROWS($1:46)),))</f>
        <v>41998</v>
      </c>
      <c r="D57" s="272" t="str">
        <f ca="1">IF(ROWS($1:46)&gt;COUNT(Dong2),"",OFFSET(TH!G$1,SMALL(Dong2,ROWS($1:46)),))</f>
        <v>Lãi tiền gửi</v>
      </c>
      <c r="E57" s="272">
        <f ca="1">IF(ROWS($1:46)&gt;COUNT(Dong2),"",OFFSET(TH!H$1,SMALL(Dong2,ROWS($1:46)),))</f>
        <v>0</v>
      </c>
      <c r="F57" s="244" t="str">
        <f ca="1">IF(ROWS($1:46)&gt;COUNT(Dong2),"",IF(OFFSET(TH!L$1,SMALL(Dong2,ROWS($1:46)),)="1121",OFFSET(TH!K$1,SMALL(Dong2,ROWS($1:46)),),OFFSET(TH!L$1,SMALL(Dong2,ROWS($1:46)),)))</f>
        <v>515</v>
      </c>
      <c r="G57" s="245">
        <f ca="1">IF(ROWS($1:46)&gt;COUNT(Dong2),"",IF(OFFSET(TH!K$1,SMALL(Dong2,ROWS($1:46)),)="1121",OFFSET(TH!J$1,SMALL(Dong2,ROWS($1:46)),),0))</f>
        <v>125079</v>
      </c>
      <c r="H57" s="245">
        <f ca="1">IF(ROWS($1:46)&gt;COUNT(Dong2),"",IF(OFFSET(TH!L$1,SMALL(Dong2,ROWS($1:46)),)="1121",OFFSET(TH!J$1,SMALL(Dong2,ROWS($1:46)),),0))</f>
        <v>0</v>
      </c>
      <c r="I57" s="246">
        <f t="shared" ca="1" si="2"/>
        <v>500455227</v>
      </c>
      <c r="J57" s="246"/>
    </row>
    <row r="58" spans="1:10" s="231" customFormat="1" ht="18" customHeight="1">
      <c r="A58" s="244">
        <f ca="1">IF(ROWS($1:47)&gt;COUNT(Dong2),"",OFFSET(TH!D$1,SMALL(Dong2,ROWS($1:47)),))</f>
        <v>42003</v>
      </c>
      <c r="B58" s="244" t="str">
        <f ca="1">IF(ROWS($1:47)&gt;COUNT(Dong2),"",OFFSET(TH!E$1,SMALL(Dong2,ROWS($1:47)),))</f>
        <v>C20</v>
      </c>
      <c r="C58" s="244">
        <f ca="1">IF(ROWS($1:47)&gt;COUNT(Dong2),"",OFFSET(TH!F$1,SMALL(Dong2,ROWS($1:47)),))</f>
        <v>42003</v>
      </c>
      <c r="D58" s="272" t="str">
        <f ca="1">IF(ROWS($1:47)&gt;COUNT(Dong2),"",OFFSET(TH!G$1,SMALL(Dong2,ROWS($1:47)),))</f>
        <v>Nộp tiền mặt vào tài khoản ngân hàng</v>
      </c>
      <c r="E58" s="272">
        <f ca="1">IF(ROWS($1:47)&gt;COUNT(Dong2),"",OFFSET(TH!H$1,SMALL(Dong2,ROWS($1:47)),))</f>
        <v>0</v>
      </c>
      <c r="F58" s="244" t="str">
        <f ca="1">IF(ROWS($1:47)&gt;COUNT(Dong2),"",IF(OFFSET(TH!L$1,SMALL(Dong2,ROWS($1:47)),)="1121",OFFSET(TH!K$1,SMALL(Dong2,ROWS($1:47)),),OFFSET(TH!L$1,SMALL(Dong2,ROWS($1:47)),)))</f>
        <v>1111</v>
      </c>
      <c r="G58" s="245">
        <f ca="1">IF(ROWS($1:47)&gt;COUNT(Dong2),"",IF(OFFSET(TH!K$1,SMALL(Dong2,ROWS($1:47)),)="1121",OFFSET(TH!J$1,SMALL(Dong2,ROWS($1:47)),),0))</f>
        <v>1000000</v>
      </c>
      <c r="H58" s="245">
        <f ca="1">IF(ROWS($1:47)&gt;COUNT(Dong2),"",IF(OFFSET(TH!L$1,SMALL(Dong2,ROWS($1:47)),)="1121",OFFSET(TH!J$1,SMALL(Dong2,ROWS($1:47)),),0))</f>
        <v>0</v>
      </c>
      <c r="I58" s="246">
        <f t="shared" ca="1" si="2"/>
        <v>501455227</v>
      </c>
      <c r="J58" s="246"/>
    </row>
    <row r="59" spans="1:10" s="231" customFormat="1" ht="18" customHeight="1">
      <c r="A59" s="244">
        <f ca="1">IF(ROWS($1:48)&gt;COUNT(Dong2),"",OFFSET(TH!D$1,SMALL(Dong2,ROWS($1:48)),))</f>
        <v>42004</v>
      </c>
      <c r="B59" s="244" t="str">
        <f ca="1">IF(ROWS($1:48)&gt;COUNT(Dong2),"",OFFSET(TH!E$1,SMALL(Dong2,ROWS($1:48)),))</f>
        <v>GBN</v>
      </c>
      <c r="C59" s="244">
        <f ca="1">IF(ROWS($1:48)&gt;COUNT(Dong2),"",OFFSET(TH!F$1,SMALL(Dong2,ROWS($1:48)),))</f>
        <v>42004</v>
      </c>
      <c r="D59" s="272" t="str">
        <f ca="1">IF(ROWS($1:48)&gt;COUNT(Dong2),"",OFFSET(TH!G$1,SMALL(Dong2,ROWS($1:48)),))</f>
        <v xml:space="preserve">Phí chuyển tiền </v>
      </c>
      <c r="E59" s="272">
        <f ca="1">IF(ROWS($1:48)&gt;COUNT(Dong2),"",OFFSET(TH!H$1,SMALL(Dong2,ROWS($1:48)),))</f>
        <v>0</v>
      </c>
      <c r="F59" s="244" t="str">
        <f ca="1">IF(ROWS($1:48)&gt;COUNT(Dong2),"",IF(OFFSET(TH!L$1,SMALL(Dong2,ROWS($1:48)),)="1121",OFFSET(TH!K$1,SMALL(Dong2,ROWS($1:48)),),OFFSET(TH!L$1,SMALL(Dong2,ROWS($1:48)),)))</f>
        <v>642</v>
      </c>
      <c r="G59" s="245">
        <f ca="1">IF(ROWS($1:48)&gt;COUNT(Dong2),"",IF(OFFSET(TH!K$1,SMALL(Dong2,ROWS($1:48)),)="1121",OFFSET(TH!J$1,SMALL(Dong2,ROWS($1:48)),),0))</f>
        <v>0</v>
      </c>
      <c r="H59" s="245">
        <f ca="1">IF(ROWS($1:48)&gt;COUNT(Dong2),"",IF(OFFSET(TH!L$1,SMALL(Dong2,ROWS($1:48)),)="1121",OFFSET(TH!J$1,SMALL(Dong2,ROWS($1:48)),),0))</f>
        <v>500000</v>
      </c>
      <c r="I59" s="246">
        <f t="shared" ca="1" si="2"/>
        <v>500955227</v>
      </c>
      <c r="J59" s="246"/>
    </row>
    <row r="60" spans="1:10" s="231" customFormat="1" ht="18" customHeight="1">
      <c r="A60" s="244">
        <f ca="1">IF(ROWS($1:49)&gt;COUNT(Dong2),"",OFFSET(TH!D$1,SMALL(Dong2,ROWS($1:49)),))</f>
        <v>42004</v>
      </c>
      <c r="B60" s="244" t="str">
        <f ca="1">IF(ROWS($1:49)&gt;COUNT(Dong2),"",OFFSET(TH!E$1,SMALL(Dong2,ROWS($1:49)),))</f>
        <v>GBN</v>
      </c>
      <c r="C60" s="244">
        <f ca="1">IF(ROWS($1:49)&gt;COUNT(Dong2),"",OFFSET(TH!F$1,SMALL(Dong2,ROWS($1:49)),))</f>
        <v>42004</v>
      </c>
      <c r="D60" s="272" t="str">
        <f ca="1">IF(ROWS($1:49)&gt;COUNT(Dong2),"",OFFSET(TH!G$1,SMALL(Dong2,ROWS($1:49)),))</f>
        <v xml:space="preserve">VAT Phí chuyển tiền </v>
      </c>
      <c r="E60" s="272">
        <f ca="1">IF(ROWS($1:49)&gt;COUNT(Dong2),"",OFFSET(TH!H$1,SMALL(Dong2,ROWS($1:49)),))</f>
        <v>0</v>
      </c>
      <c r="F60" s="244" t="str">
        <f ca="1">IF(ROWS($1:49)&gt;COUNT(Dong2),"",IF(OFFSET(TH!L$1,SMALL(Dong2,ROWS($1:49)),)="1121",OFFSET(TH!K$1,SMALL(Dong2,ROWS($1:49)),),OFFSET(TH!L$1,SMALL(Dong2,ROWS($1:49)),)))</f>
        <v>1331</v>
      </c>
      <c r="G60" s="245">
        <f ca="1">IF(ROWS($1:49)&gt;COUNT(Dong2),"",IF(OFFSET(TH!K$1,SMALL(Dong2,ROWS($1:49)),)="1121",OFFSET(TH!J$1,SMALL(Dong2,ROWS($1:49)),),0))</f>
        <v>0</v>
      </c>
      <c r="H60" s="245">
        <f ca="1">IF(ROWS($1:49)&gt;COUNT(Dong2),"",IF(OFFSET(TH!L$1,SMALL(Dong2,ROWS($1:49)),)="1121",OFFSET(TH!J$1,SMALL(Dong2,ROWS($1:49)),),0))</f>
        <v>50000</v>
      </c>
      <c r="I60" s="246">
        <f t="shared" ca="1" si="2"/>
        <v>500905227</v>
      </c>
      <c r="J60" s="246"/>
    </row>
    <row r="61" spans="1:10" s="231" customFormat="1" ht="18" customHeight="1">
      <c r="A61" s="244" t="str">
        <f ca="1">IF(ROWS($1:50)&gt;COUNT(Dong2),"",OFFSET(TH!D$1,SMALL(Dong2,ROWS($1:50)),))</f>
        <v/>
      </c>
      <c r="B61" s="244" t="str">
        <f ca="1">IF(ROWS($1:50)&gt;COUNT(Dong2),"",OFFSET(TH!E$1,SMALL(Dong2,ROWS($1:50)),))</f>
        <v/>
      </c>
      <c r="C61" s="244" t="str">
        <f ca="1">IF(ROWS($1:50)&gt;COUNT(Dong2),"",OFFSET(TH!F$1,SMALL(Dong2,ROWS($1:50)),))</f>
        <v/>
      </c>
      <c r="D61" s="272" t="str">
        <f ca="1">IF(ROWS($1:50)&gt;COUNT(Dong2),"",OFFSET(TH!G$1,SMALL(Dong2,ROWS($1:50)),))</f>
        <v/>
      </c>
      <c r="E61" s="272" t="str">
        <f ca="1">IF(ROWS($1:50)&gt;COUNT(Dong2),"",OFFSET(TH!H$1,SMALL(Dong2,ROWS($1:50)),))</f>
        <v/>
      </c>
      <c r="F61" s="244" t="str">
        <f ca="1">IF(ROWS($1:50)&gt;COUNT(Dong2),"",IF(OFFSET(TH!L$1,SMALL(Dong2,ROWS($1:50)),)="1121",OFFSET(TH!K$1,SMALL(Dong2,ROWS($1:50)),),OFFSET(TH!L$1,SMALL(Dong2,ROWS($1:50)),)))</f>
        <v/>
      </c>
      <c r="G61" s="245" t="str">
        <f ca="1">IF(ROWS($1:50)&gt;COUNT(Dong2),"",IF(OFFSET(TH!K$1,SMALL(Dong2,ROWS($1:50)),)="1121",OFFSET(TH!J$1,SMALL(Dong2,ROWS($1:50)),),0))</f>
        <v/>
      </c>
      <c r="H61" s="245" t="str">
        <f ca="1">IF(ROWS($1:50)&gt;COUNT(Dong2),"",IF(OFFSET(TH!L$1,SMALL(Dong2,ROWS($1:50)),)="1121",OFFSET(TH!J$1,SMALL(Dong2,ROWS($1:50)),),0))</f>
        <v/>
      </c>
      <c r="I61" s="246">
        <f t="shared" ca="1" si="2"/>
        <v>0</v>
      </c>
      <c r="J61" s="246"/>
    </row>
    <row r="62" spans="1:10" s="231" customFormat="1" ht="18" customHeight="1">
      <c r="A62" s="244" t="str">
        <f ca="1">IF(ROWS($1:51)&gt;COUNT(Dong2),"",OFFSET(TH!D$1,SMALL(Dong2,ROWS($1:51)),))</f>
        <v/>
      </c>
      <c r="B62" s="244" t="str">
        <f ca="1">IF(ROWS($1:51)&gt;COUNT(Dong2),"",OFFSET(TH!E$1,SMALL(Dong2,ROWS($1:51)),))</f>
        <v/>
      </c>
      <c r="C62" s="244" t="str">
        <f ca="1">IF(ROWS($1:51)&gt;COUNT(Dong2),"",OFFSET(TH!F$1,SMALL(Dong2,ROWS($1:51)),))</f>
        <v/>
      </c>
      <c r="D62" s="272" t="str">
        <f ca="1">IF(ROWS($1:51)&gt;COUNT(Dong2),"",OFFSET(TH!G$1,SMALL(Dong2,ROWS($1:51)),))</f>
        <v/>
      </c>
      <c r="E62" s="272" t="str">
        <f ca="1">IF(ROWS($1:51)&gt;COUNT(Dong2),"",OFFSET(TH!H$1,SMALL(Dong2,ROWS($1:51)),))</f>
        <v/>
      </c>
      <c r="F62" s="244" t="str">
        <f ca="1">IF(ROWS($1:51)&gt;COUNT(Dong2),"",IF(OFFSET(TH!L$1,SMALL(Dong2,ROWS($1:51)),)="1121",OFFSET(TH!K$1,SMALL(Dong2,ROWS($1:51)),),OFFSET(TH!L$1,SMALL(Dong2,ROWS($1:51)),)))</f>
        <v/>
      </c>
      <c r="G62" s="245" t="str">
        <f ca="1">IF(ROWS($1:51)&gt;COUNT(Dong2),"",IF(OFFSET(TH!K$1,SMALL(Dong2,ROWS($1:51)),)="1121",OFFSET(TH!J$1,SMALL(Dong2,ROWS($1:51)),),0))</f>
        <v/>
      </c>
      <c r="H62" s="245" t="str">
        <f ca="1">IF(ROWS($1:51)&gt;COUNT(Dong2),"",IF(OFFSET(TH!L$1,SMALL(Dong2,ROWS($1:51)),)="1121",OFFSET(TH!J$1,SMALL(Dong2,ROWS($1:51)),),0))</f>
        <v/>
      </c>
      <c r="I62" s="246">
        <f t="shared" ca="1" si="2"/>
        <v>0</v>
      </c>
      <c r="J62" s="246"/>
    </row>
    <row r="63" spans="1:10" s="231" customFormat="1" ht="18" customHeight="1">
      <c r="A63" s="244" t="str">
        <f ca="1">IF(ROWS($1:52)&gt;COUNT(Dong2),"",OFFSET(TH!D$1,SMALL(Dong2,ROWS($1:52)),))</f>
        <v/>
      </c>
      <c r="B63" s="244" t="str">
        <f ca="1">IF(ROWS($1:52)&gt;COUNT(Dong2),"",OFFSET(TH!E$1,SMALL(Dong2,ROWS($1:52)),))</f>
        <v/>
      </c>
      <c r="C63" s="244" t="str">
        <f ca="1">IF(ROWS($1:52)&gt;COUNT(Dong2),"",OFFSET(TH!F$1,SMALL(Dong2,ROWS($1:52)),))</f>
        <v/>
      </c>
      <c r="D63" s="272" t="str">
        <f ca="1">IF(ROWS($1:52)&gt;COUNT(Dong2),"",OFFSET(TH!G$1,SMALL(Dong2,ROWS($1:52)),))</f>
        <v/>
      </c>
      <c r="E63" s="272" t="str">
        <f ca="1">IF(ROWS($1:52)&gt;COUNT(Dong2),"",OFFSET(TH!H$1,SMALL(Dong2,ROWS($1:52)),))</f>
        <v/>
      </c>
      <c r="F63" s="244" t="str">
        <f ca="1">IF(ROWS($1:52)&gt;COUNT(Dong2),"",IF(OFFSET(TH!L$1,SMALL(Dong2,ROWS($1:52)),)="1121",OFFSET(TH!K$1,SMALL(Dong2,ROWS($1:52)),),OFFSET(TH!L$1,SMALL(Dong2,ROWS($1:52)),)))</f>
        <v/>
      </c>
      <c r="G63" s="245" t="str">
        <f ca="1">IF(ROWS($1:52)&gt;COUNT(Dong2),"",IF(OFFSET(TH!K$1,SMALL(Dong2,ROWS($1:52)),)="1121",OFFSET(TH!J$1,SMALL(Dong2,ROWS($1:52)),),0))</f>
        <v/>
      </c>
      <c r="H63" s="245" t="str">
        <f ca="1">IF(ROWS($1:52)&gt;COUNT(Dong2),"",IF(OFFSET(TH!L$1,SMALL(Dong2,ROWS($1:52)),)="1121",OFFSET(TH!J$1,SMALL(Dong2,ROWS($1:52)),),0))</f>
        <v/>
      </c>
      <c r="I63" s="246">
        <f t="shared" ca="1" si="2"/>
        <v>0</v>
      </c>
      <c r="J63" s="246"/>
    </row>
    <row r="64" spans="1:10" s="231" customFormat="1" ht="18" customHeight="1">
      <c r="A64" s="244" t="str">
        <f ca="1">IF(ROWS($1:53)&gt;COUNT(Dong2),"",OFFSET(TH!D$1,SMALL(Dong2,ROWS($1:53)),))</f>
        <v/>
      </c>
      <c r="B64" s="244" t="str">
        <f ca="1">IF(ROWS($1:53)&gt;COUNT(Dong2),"",OFFSET(TH!E$1,SMALL(Dong2,ROWS($1:53)),))</f>
        <v/>
      </c>
      <c r="C64" s="244" t="str">
        <f ca="1">IF(ROWS($1:53)&gt;COUNT(Dong2),"",OFFSET(TH!F$1,SMALL(Dong2,ROWS($1:53)),))</f>
        <v/>
      </c>
      <c r="D64" s="272" t="str">
        <f ca="1">IF(ROWS($1:53)&gt;COUNT(Dong2),"",OFFSET(TH!G$1,SMALL(Dong2,ROWS($1:53)),))</f>
        <v/>
      </c>
      <c r="E64" s="272" t="str">
        <f ca="1">IF(ROWS($1:53)&gt;COUNT(Dong2),"",OFFSET(TH!H$1,SMALL(Dong2,ROWS($1:53)),))</f>
        <v/>
      </c>
      <c r="F64" s="244" t="str">
        <f ca="1">IF(ROWS($1:53)&gt;COUNT(Dong2),"",IF(OFFSET(TH!L$1,SMALL(Dong2,ROWS($1:53)),)="1121",OFFSET(TH!K$1,SMALL(Dong2,ROWS($1:53)),),OFFSET(TH!L$1,SMALL(Dong2,ROWS($1:53)),)))</f>
        <v/>
      </c>
      <c r="G64" s="245" t="str">
        <f ca="1">IF(ROWS($1:53)&gt;COUNT(Dong2),"",IF(OFFSET(TH!K$1,SMALL(Dong2,ROWS($1:53)),)="1121",OFFSET(TH!J$1,SMALL(Dong2,ROWS($1:53)),),0))</f>
        <v/>
      </c>
      <c r="H64" s="245" t="str">
        <f ca="1">IF(ROWS($1:53)&gt;COUNT(Dong2),"",IF(OFFSET(TH!L$1,SMALL(Dong2,ROWS($1:53)),)="1121",OFFSET(TH!J$1,SMALL(Dong2,ROWS($1:53)),),0))</f>
        <v/>
      </c>
      <c r="I64" s="246">
        <f t="shared" ca="1" si="2"/>
        <v>0</v>
      </c>
      <c r="J64" s="246"/>
    </row>
    <row r="65" spans="1:12" s="231" customFormat="1" ht="18" customHeight="1">
      <c r="A65" s="244" t="str">
        <f ca="1">IF(ROWS($1:54)&gt;COUNT(Dong2),"",OFFSET(TH!D$1,SMALL(Dong2,ROWS($1:54)),))</f>
        <v/>
      </c>
      <c r="B65" s="244" t="str">
        <f ca="1">IF(ROWS($1:54)&gt;COUNT(Dong2),"",OFFSET(TH!E$1,SMALL(Dong2,ROWS($1:54)),))</f>
        <v/>
      </c>
      <c r="C65" s="244" t="str">
        <f ca="1">IF(ROWS($1:54)&gt;COUNT(Dong2),"",OFFSET(TH!F$1,SMALL(Dong2,ROWS($1:54)),))</f>
        <v/>
      </c>
      <c r="D65" s="272" t="str">
        <f ca="1">IF(ROWS($1:54)&gt;COUNT(Dong2),"",OFFSET(TH!G$1,SMALL(Dong2,ROWS($1:54)),))</f>
        <v/>
      </c>
      <c r="E65" s="272" t="str">
        <f ca="1">IF(ROWS($1:54)&gt;COUNT(Dong2),"",OFFSET(TH!H$1,SMALL(Dong2,ROWS($1:54)),))</f>
        <v/>
      </c>
      <c r="F65" s="244" t="str">
        <f ca="1">IF(ROWS($1:54)&gt;COUNT(Dong2),"",IF(OFFSET(TH!L$1,SMALL(Dong2,ROWS($1:54)),)="1121",OFFSET(TH!K$1,SMALL(Dong2,ROWS($1:54)),),OFFSET(TH!L$1,SMALL(Dong2,ROWS($1:54)),)))</f>
        <v/>
      </c>
      <c r="G65" s="245" t="str">
        <f ca="1">IF(ROWS($1:54)&gt;COUNT(Dong2),"",IF(OFFSET(TH!K$1,SMALL(Dong2,ROWS($1:54)),)="1121",OFFSET(TH!J$1,SMALL(Dong2,ROWS($1:54)),),0))</f>
        <v/>
      </c>
      <c r="H65" s="245" t="str">
        <f ca="1">IF(ROWS($1:54)&gt;COUNT(Dong2),"",IF(OFFSET(TH!L$1,SMALL(Dong2,ROWS($1:54)),)="1121",OFFSET(TH!J$1,SMALL(Dong2,ROWS($1:54)),),0))</f>
        <v/>
      </c>
      <c r="I65" s="246">
        <f t="shared" ca="1" si="2"/>
        <v>0</v>
      </c>
      <c r="J65" s="246"/>
    </row>
    <row r="66" spans="1:12" s="231" customFormat="1" ht="18" customHeight="1">
      <c r="A66" s="244" t="str">
        <f ca="1">IF(ROWS($1:55)&gt;COUNT(Dong2),"",OFFSET(TH!D$1,SMALL(Dong2,ROWS($1:55)),))</f>
        <v/>
      </c>
      <c r="B66" s="244" t="str">
        <f ca="1">IF(ROWS($1:55)&gt;COUNT(Dong2),"",OFFSET(TH!E$1,SMALL(Dong2,ROWS($1:55)),))</f>
        <v/>
      </c>
      <c r="C66" s="244" t="str">
        <f ca="1">IF(ROWS($1:55)&gt;COUNT(Dong2),"",OFFSET(TH!F$1,SMALL(Dong2,ROWS($1:55)),))</f>
        <v/>
      </c>
      <c r="D66" s="272" t="str">
        <f ca="1">IF(ROWS($1:55)&gt;COUNT(Dong2),"",OFFSET(TH!G$1,SMALL(Dong2,ROWS($1:55)),))</f>
        <v/>
      </c>
      <c r="E66" s="272" t="str">
        <f ca="1">IF(ROWS($1:55)&gt;COUNT(Dong2),"",OFFSET(TH!H$1,SMALL(Dong2,ROWS($1:55)),))</f>
        <v/>
      </c>
      <c r="F66" s="244" t="str">
        <f ca="1">IF(ROWS($1:55)&gt;COUNT(Dong2),"",IF(OFFSET(TH!L$1,SMALL(Dong2,ROWS($1:55)),)="1121",OFFSET(TH!K$1,SMALL(Dong2,ROWS($1:55)),),OFFSET(TH!L$1,SMALL(Dong2,ROWS($1:55)),)))</f>
        <v/>
      </c>
      <c r="G66" s="245" t="str">
        <f ca="1">IF(ROWS($1:55)&gt;COUNT(Dong2),"",IF(OFFSET(TH!K$1,SMALL(Dong2,ROWS($1:55)),)="1121",OFFSET(TH!J$1,SMALL(Dong2,ROWS($1:55)),),0))</f>
        <v/>
      </c>
      <c r="H66" s="245" t="str">
        <f ca="1">IF(ROWS($1:55)&gt;COUNT(Dong2),"",IF(OFFSET(TH!L$1,SMALL(Dong2,ROWS($1:55)),)="1121",OFFSET(TH!J$1,SMALL(Dong2,ROWS($1:55)),),0))</f>
        <v/>
      </c>
      <c r="I66" s="246">
        <f t="shared" ref="I66:I69" ca="1" si="3">IF(A66&lt;&gt;"",I65+G66-H66,0)</f>
        <v>0</v>
      </c>
      <c r="J66" s="246"/>
    </row>
    <row r="67" spans="1:12" s="231" customFormat="1" ht="18" customHeight="1">
      <c r="A67" s="244" t="str">
        <f ca="1">IF(ROWS($1:56)&gt;COUNT(Dong2),"",OFFSET(TH!D$1,SMALL(Dong2,ROWS($1:56)),))</f>
        <v/>
      </c>
      <c r="B67" s="244" t="str">
        <f ca="1">IF(ROWS($1:56)&gt;COUNT(Dong2),"",OFFSET(TH!E$1,SMALL(Dong2,ROWS($1:56)),))</f>
        <v/>
      </c>
      <c r="C67" s="244" t="str">
        <f ca="1">IF(ROWS($1:56)&gt;COUNT(Dong2),"",OFFSET(TH!F$1,SMALL(Dong2,ROWS($1:56)),))</f>
        <v/>
      </c>
      <c r="D67" s="272" t="str">
        <f ca="1">IF(ROWS($1:56)&gt;COUNT(Dong2),"",OFFSET(TH!G$1,SMALL(Dong2,ROWS($1:56)),))</f>
        <v/>
      </c>
      <c r="E67" s="272" t="str">
        <f ca="1">IF(ROWS($1:56)&gt;COUNT(Dong2),"",OFFSET(TH!H$1,SMALL(Dong2,ROWS($1:56)),))</f>
        <v/>
      </c>
      <c r="F67" s="244" t="str">
        <f ca="1">IF(ROWS($1:56)&gt;COUNT(Dong2),"",IF(OFFSET(TH!L$1,SMALL(Dong2,ROWS($1:56)),)="1121",OFFSET(TH!K$1,SMALL(Dong2,ROWS($1:56)),),OFFSET(TH!L$1,SMALL(Dong2,ROWS($1:56)),)))</f>
        <v/>
      </c>
      <c r="G67" s="245" t="str">
        <f ca="1">IF(ROWS($1:56)&gt;COUNT(Dong2),"",IF(OFFSET(TH!K$1,SMALL(Dong2,ROWS($1:56)),)="1121",OFFSET(TH!J$1,SMALL(Dong2,ROWS($1:56)),),0))</f>
        <v/>
      </c>
      <c r="H67" s="245" t="str">
        <f ca="1">IF(ROWS($1:56)&gt;COUNT(Dong2),"",IF(OFFSET(TH!L$1,SMALL(Dong2,ROWS($1:56)),)="1121",OFFSET(TH!J$1,SMALL(Dong2,ROWS($1:56)),),0))</f>
        <v/>
      </c>
      <c r="I67" s="246">
        <f t="shared" ca="1" si="3"/>
        <v>0</v>
      </c>
      <c r="J67" s="246"/>
    </row>
    <row r="68" spans="1:12" s="231" customFormat="1" ht="18" customHeight="1">
      <c r="A68" s="244" t="str">
        <f ca="1">IF(ROWS($1:57)&gt;COUNT(Dong2),"",OFFSET(TH!D$1,SMALL(Dong2,ROWS($1:57)),))</f>
        <v/>
      </c>
      <c r="B68" s="244" t="str">
        <f ca="1">IF(ROWS($1:57)&gt;COUNT(Dong2),"",OFFSET(TH!E$1,SMALL(Dong2,ROWS($1:57)),))</f>
        <v/>
      </c>
      <c r="C68" s="244" t="str">
        <f ca="1">IF(ROWS($1:57)&gt;COUNT(Dong2),"",OFFSET(TH!F$1,SMALL(Dong2,ROWS($1:57)),))</f>
        <v/>
      </c>
      <c r="D68" s="272" t="str">
        <f ca="1">IF(ROWS($1:57)&gt;COUNT(Dong2),"",OFFSET(TH!G$1,SMALL(Dong2,ROWS($1:57)),))</f>
        <v/>
      </c>
      <c r="E68" s="272" t="str">
        <f ca="1">IF(ROWS($1:57)&gt;COUNT(Dong2),"",OFFSET(TH!H$1,SMALL(Dong2,ROWS($1:57)),))</f>
        <v/>
      </c>
      <c r="F68" s="244" t="str">
        <f ca="1">IF(ROWS($1:57)&gt;COUNT(Dong2),"",IF(OFFSET(TH!L$1,SMALL(Dong2,ROWS($1:57)),)="1121",OFFSET(TH!K$1,SMALL(Dong2,ROWS($1:57)),),OFFSET(TH!L$1,SMALL(Dong2,ROWS($1:57)),)))</f>
        <v/>
      </c>
      <c r="G68" s="245" t="str">
        <f ca="1">IF(ROWS($1:57)&gt;COUNT(Dong2),"",IF(OFFSET(TH!K$1,SMALL(Dong2,ROWS($1:57)),)="1121",OFFSET(TH!J$1,SMALL(Dong2,ROWS($1:57)),),0))</f>
        <v/>
      </c>
      <c r="H68" s="245" t="str">
        <f ca="1">IF(ROWS($1:57)&gt;COUNT(Dong2),"",IF(OFFSET(TH!L$1,SMALL(Dong2,ROWS($1:57)),)="1121",OFFSET(TH!J$1,SMALL(Dong2,ROWS($1:57)),),0))</f>
        <v/>
      </c>
      <c r="I68" s="246">
        <f t="shared" ca="1" si="3"/>
        <v>0</v>
      </c>
      <c r="J68" s="246"/>
    </row>
    <row r="69" spans="1:12" s="231" customFormat="1" ht="18" customHeight="1">
      <c r="A69" s="244" t="str">
        <f ca="1">IF(ROWS($1:58)&gt;COUNT(Dong2),"",OFFSET(TH!D$1,SMALL(Dong2,ROWS($1:58)),))</f>
        <v/>
      </c>
      <c r="B69" s="244" t="str">
        <f ca="1">IF(ROWS($1:58)&gt;COUNT(Dong2),"",OFFSET(TH!E$1,SMALL(Dong2,ROWS($1:58)),))</f>
        <v/>
      </c>
      <c r="C69" s="244" t="str">
        <f ca="1">IF(ROWS($1:58)&gt;COUNT(Dong2),"",OFFSET(TH!F$1,SMALL(Dong2,ROWS($1:58)),))</f>
        <v/>
      </c>
      <c r="D69" s="272" t="str">
        <f ca="1">IF(ROWS($1:58)&gt;COUNT(Dong2),"",OFFSET(TH!G$1,SMALL(Dong2,ROWS($1:58)),))</f>
        <v/>
      </c>
      <c r="E69" s="272" t="str">
        <f ca="1">IF(ROWS($1:58)&gt;COUNT(Dong2),"",OFFSET(TH!H$1,SMALL(Dong2,ROWS($1:58)),))</f>
        <v/>
      </c>
      <c r="F69" s="244" t="str">
        <f ca="1">IF(ROWS($1:58)&gt;COUNT(Dong2),"",IF(OFFSET(TH!L$1,SMALL(Dong2,ROWS($1:58)),)="1121",OFFSET(TH!K$1,SMALL(Dong2,ROWS($1:58)),),OFFSET(TH!L$1,SMALL(Dong2,ROWS($1:58)),)))</f>
        <v/>
      </c>
      <c r="G69" s="245" t="str">
        <f ca="1">IF(ROWS($1:58)&gt;COUNT(Dong2),"",IF(OFFSET(TH!K$1,SMALL(Dong2,ROWS($1:58)),)="1121",OFFSET(TH!J$1,SMALL(Dong2,ROWS($1:58)),),0))</f>
        <v/>
      </c>
      <c r="H69" s="245" t="str">
        <f ca="1">IF(ROWS($1:58)&gt;COUNT(Dong2),"",IF(OFFSET(TH!L$1,SMALL(Dong2,ROWS($1:58)),)="1121",OFFSET(TH!J$1,SMALL(Dong2,ROWS($1:58)),),0))</f>
        <v/>
      </c>
      <c r="I69" s="246">
        <f t="shared" ca="1" si="3"/>
        <v>0</v>
      </c>
      <c r="J69" s="246"/>
    </row>
    <row r="70" spans="1:12" s="231" customFormat="1" ht="18" customHeight="1">
      <c r="A70" s="244"/>
      <c r="B70" s="244"/>
      <c r="C70" s="244"/>
      <c r="D70" s="272"/>
      <c r="E70" s="272"/>
      <c r="F70" s="244"/>
      <c r="G70" s="245"/>
      <c r="H70" s="245"/>
      <c r="I70" s="246"/>
      <c r="J70" s="246"/>
    </row>
    <row r="71" spans="1:12" s="243" customFormat="1" ht="18" customHeight="1">
      <c r="A71" s="247"/>
      <c r="B71" s="248"/>
      <c r="C71" s="247"/>
      <c r="D71" s="241" t="s">
        <v>243</v>
      </c>
      <c r="E71" s="241"/>
      <c r="F71" s="249"/>
      <c r="G71" s="250">
        <f ca="1">SUM(G12:G70)</f>
        <v>4218008594</v>
      </c>
      <c r="H71" s="250">
        <f ca="1">SUM(H12:H70)</f>
        <v>4556258054</v>
      </c>
      <c r="I71" s="250">
        <f ca="1">I11+G71-H71</f>
        <v>500905227</v>
      </c>
      <c r="J71" s="249"/>
    </row>
    <row r="72" spans="1:12" s="243" customFormat="1" ht="18" customHeight="1">
      <c r="A72" s="247"/>
      <c r="B72" s="248"/>
      <c r="C72" s="247"/>
      <c r="D72" s="241" t="s">
        <v>12</v>
      </c>
      <c r="E72" s="241"/>
      <c r="F72" s="249"/>
      <c r="G72" s="241"/>
      <c r="H72" s="241"/>
      <c r="I72" s="250">
        <f ca="1">I71</f>
        <v>500905227</v>
      </c>
      <c r="J72" s="249"/>
    </row>
    <row r="73" spans="1:12" s="243" customFormat="1" ht="22.5" customHeight="1">
      <c r="A73" s="300" t="s">
        <v>262</v>
      </c>
      <c r="B73" s="251"/>
      <c r="G73" s="252"/>
      <c r="J73" s="253"/>
    </row>
    <row r="74" spans="1:12" s="243" customFormat="1" ht="12.75">
      <c r="A74" s="299" t="str">
        <f ca="1">"- Ngày mở sổ: "&amp;DAY($A$12)&amp;"/"&amp;MONTH($A$12)&amp;"/ 2014"</f>
        <v>- Ngày mở sổ: 3/10/ 2014</v>
      </c>
      <c r="B74" s="254"/>
      <c r="G74" s="252"/>
      <c r="J74" s="253"/>
    </row>
    <row r="75" spans="1:12" s="243" customFormat="1" ht="15">
      <c r="A75" s="255"/>
      <c r="B75" s="256"/>
      <c r="C75" s="257"/>
      <c r="G75" s="252"/>
      <c r="I75" s="216" t="str">
        <f>"Ngày "&amp;IF(OR($O$9=3,$O$9=12),"31","30")&amp;" tháng "&amp;$O$9&amp;"  năm  2014 "</f>
        <v xml:space="preserve">Ngày 31 tháng 12  năm  2014 </v>
      </c>
    </row>
    <row r="76" spans="1:12" s="243" customFormat="1" ht="17.25" customHeight="1">
      <c r="A76" s="546" t="s">
        <v>13</v>
      </c>
      <c r="B76" s="546"/>
      <c r="C76" s="256"/>
      <c r="F76" s="258" t="s">
        <v>14</v>
      </c>
      <c r="G76" s="259"/>
      <c r="H76" s="547" t="s">
        <v>209</v>
      </c>
      <c r="I76" s="547"/>
      <c r="J76" s="547"/>
      <c r="K76" s="260"/>
      <c r="L76" s="255"/>
    </row>
    <row r="77" spans="1:12" s="243" customFormat="1" ht="12.75">
      <c r="A77" s="548" t="s">
        <v>15</v>
      </c>
      <c r="B77" s="548"/>
      <c r="C77" s="261"/>
      <c r="F77" s="262" t="s">
        <v>15</v>
      </c>
      <c r="G77" s="263"/>
      <c r="H77" s="549" t="s">
        <v>246</v>
      </c>
      <c r="I77" s="549"/>
      <c r="J77" s="549"/>
      <c r="L77" s="264"/>
    </row>
  </sheetData>
  <autoFilter ref="A10:L74">
    <filterColumn colId="5"/>
  </autoFilter>
  <mergeCells count="17">
    <mergeCell ref="N8:O8"/>
    <mergeCell ref="A76:B76"/>
    <mergeCell ref="H76:J76"/>
    <mergeCell ref="A77:B77"/>
    <mergeCell ref="H77:J77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42"/>
  <sheetViews>
    <sheetView topLeftCell="A8" workbookViewId="0">
      <pane ySplit="4" topLeftCell="A18" activePane="bottomLeft" state="frozen"/>
      <selection activeCell="A8" sqref="A8"/>
      <selection pane="bottomLeft" activeCell="D40" sqref="D40"/>
    </sheetView>
  </sheetViews>
  <sheetFormatPr defaultRowHeight="15"/>
  <cols>
    <col min="1" max="1" width="9.85546875" style="4" customWidth="1"/>
    <col min="2" max="2" width="10.28515625" style="274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customWidth="1"/>
    <col min="9" max="10" width="4.7109375" style="5" customWidth="1"/>
    <col min="11" max="11" width="9.140625" style="5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3" customFormat="1" ht="15.75" customHeight="1">
      <c r="A1" s="219" t="s">
        <v>216</v>
      </c>
      <c r="D1" s="550" t="s">
        <v>265</v>
      </c>
      <c r="E1" s="550"/>
      <c r="G1" s="2"/>
      <c r="I1" s="2"/>
    </row>
    <row r="2" spans="1:10" s="273" customFormat="1" ht="15.75" customHeight="1">
      <c r="A2" s="157" t="s">
        <v>217</v>
      </c>
      <c r="D2" s="551" t="s">
        <v>266</v>
      </c>
      <c r="E2" s="551"/>
      <c r="G2" s="26"/>
      <c r="I2" s="26"/>
    </row>
    <row r="3" spans="1:10" s="273" customFormat="1">
      <c r="D3" s="551" t="s">
        <v>267</v>
      </c>
      <c r="E3" s="551"/>
      <c r="F3" s="26"/>
      <c r="G3" s="26"/>
      <c r="I3" s="26"/>
    </row>
    <row r="4" spans="1:10" ht="8.25" customHeight="1"/>
    <row r="5" spans="1:10" ht="23.25" customHeight="1">
      <c r="A5" s="552" t="s">
        <v>268</v>
      </c>
      <c r="B5" s="552"/>
      <c r="C5" s="552"/>
      <c r="D5" s="552"/>
      <c r="E5" s="552"/>
    </row>
    <row r="6" spans="1:10" ht="18" customHeight="1">
      <c r="A6" s="553" t="str">
        <f>$G$9&amp;"  năm  2015 "</f>
        <v xml:space="preserve">Quý II  năm  2015 </v>
      </c>
      <c r="B6" s="553"/>
      <c r="C6" s="553"/>
      <c r="D6" s="553"/>
      <c r="E6" s="553"/>
    </row>
    <row r="7" spans="1:10" ht="10.5" customHeight="1"/>
    <row r="8" spans="1:10" s="275" customFormat="1" ht="20.25" customHeight="1" thickBot="1">
      <c r="A8" s="554" t="s">
        <v>1</v>
      </c>
      <c r="B8" s="554"/>
      <c r="C8" s="555" t="s">
        <v>0</v>
      </c>
      <c r="D8" s="555" t="s">
        <v>269</v>
      </c>
      <c r="E8" s="555" t="s">
        <v>270</v>
      </c>
      <c r="G8" s="220"/>
      <c r="H8" s="192"/>
      <c r="I8" s="529" t="s">
        <v>247</v>
      </c>
      <c r="J8" s="529"/>
    </row>
    <row r="9" spans="1:10" s="275" customFormat="1" ht="20.25" customHeight="1" thickBot="1">
      <c r="A9" s="276" t="s">
        <v>19</v>
      </c>
      <c r="B9" s="277" t="s">
        <v>42</v>
      </c>
      <c r="C9" s="555"/>
      <c r="D9" s="555"/>
      <c r="E9" s="555"/>
      <c r="G9" s="269" t="s">
        <v>428</v>
      </c>
      <c r="H9" s="192"/>
      <c r="I9" s="270">
        <f>IF(G9="Quý I",1,IF(G9="Quý II",4,IF(G9="Quý III",7,IF(G9="Quý IV",10,""))))</f>
        <v>4</v>
      </c>
      <c r="J9" s="271">
        <f>IF(G9="Quý I",3,IF(G9="Quý II",6,IF(G9="Quý III",9,IF(G9="Quý IV",12,""))))</f>
        <v>6</v>
      </c>
    </row>
    <row r="10" spans="1:10" s="281" customFormat="1" ht="11.25" customHeight="1">
      <c r="A10" s="278" t="s">
        <v>2</v>
      </c>
      <c r="B10" s="279" t="s">
        <v>3</v>
      </c>
      <c r="C10" s="279" t="s">
        <v>4</v>
      </c>
      <c r="D10" s="280" t="s">
        <v>271</v>
      </c>
      <c r="E10" s="280" t="s">
        <v>272</v>
      </c>
    </row>
    <row r="11" spans="1:10" s="281" customFormat="1" ht="18" customHeight="1">
      <c r="A11" s="282"/>
      <c r="B11" s="283"/>
      <c r="C11" s="284" t="s">
        <v>273</v>
      </c>
      <c r="D11" s="285">
        <f>IF($L$9="All",CDPS!$C$14,CDPS!$C$14+SUMIF(_N133,"x",TH)-SUMIF(_C133,"x",TH))</f>
        <v>2762190</v>
      </c>
      <c r="E11" s="285"/>
    </row>
    <row r="12" spans="1:10" s="281" customFormat="1" ht="18" customHeight="1">
      <c r="A12" s="286"/>
      <c r="B12" s="287"/>
      <c r="C12" s="288" t="s">
        <v>274</v>
      </c>
      <c r="D12" s="289"/>
      <c r="E12" s="289"/>
    </row>
    <row r="13" spans="1:10" ht="18" customHeight="1">
      <c r="A13" s="302" t="str">
        <f ca="1">IF(ROWS($1:1)&gt;COUNT(Dong3),"",OFFSET(TH!E$1,SMALL(Dong3,ROWS($1:1)),))</f>
        <v>CTGS</v>
      </c>
      <c r="B13" s="290">
        <f ca="1">IF(ROWS($1:1)&gt;COUNT(Dong3),"",OFFSET(TH!F$1,SMALL(Dong3,ROWS($1:1)),))</f>
        <v>41743</v>
      </c>
      <c r="C13" s="301" t="str">
        <f ca="1">IF(ROWS($1:1)&gt;COUNT(Dong3),"",OFFSET(TH!G$1,SMALL(Dong3,ROWS($1:1)),))</f>
        <v>VAT Lập báo cáo dự án - Trà Vinh</v>
      </c>
      <c r="D13" s="303">
        <f ca="1">IF(ROWS($1:1)&gt;COUNT(Dong3),"",OFFSET(TH!J$1,SMALL(Dong3,ROWS($1:1)),))</f>
        <v>5500000</v>
      </c>
      <c r="E13" s="291"/>
    </row>
    <row r="14" spans="1:10" ht="18" customHeight="1">
      <c r="A14" s="302" t="str">
        <f ca="1">IF(ROWS($1:2)&gt;COUNT(Dong3),"",OFFSET(TH!E$1,SMALL(Dong3,ROWS($1:2)),))</f>
        <v>GBN</v>
      </c>
      <c r="B14" s="290">
        <f ca="1">IF(ROWS($1:2)&gt;COUNT(Dong3),"",OFFSET(TH!F$1,SMALL(Dong3,ROWS($1:2)),))</f>
        <v>41775</v>
      </c>
      <c r="C14" s="301" t="str">
        <f ca="1">IF(ROWS($1:2)&gt;COUNT(Dong3),"",OFFSET(TH!G$1,SMALL(Dong3,ROWS($1:2)),))</f>
        <v xml:space="preserve">VAT Phí chuyển tiền </v>
      </c>
      <c r="D14" s="303">
        <f ca="1">IF(ROWS($1:2)&gt;COUNT(Dong3),"",OFFSET(TH!J$1,SMALL(Dong3,ROWS($1:2)),))</f>
        <v>2500</v>
      </c>
      <c r="E14" s="291"/>
    </row>
    <row r="15" spans="1:10" ht="18" customHeight="1">
      <c r="A15" s="302" t="str">
        <f ca="1">IF(ROWS($1:3)&gt;COUNT(Dong3),"",OFFSET(TH!E$1,SMALL(Dong3,ROWS($1:3)),))</f>
        <v>GBN</v>
      </c>
      <c r="B15" s="290">
        <f ca="1">IF(ROWS($1:3)&gt;COUNT(Dong3),"",OFFSET(TH!F$1,SMALL(Dong3,ROWS($1:3)),))</f>
        <v>41779</v>
      </c>
      <c r="C15" s="301" t="str">
        <f ca="1">IF(ROWS($1:3)&gt;COUNT(Dong3),"",OFFSET(TH!G$1,SMALL(Dong3,ROWS($1:3)),))</f>
        <v xml:space="preserve">VAT Phí chuyển tiền </v>
      </c>
      <c r="D15" s="303">
        <f ca="1">IF(ROWS($1:3)&gt;COUNT(Dong3),"",OFFSET(TH!J$1,SMALL(Dong3,ROWS($1:3)),))</f>
        <v>2500</v>
      </c>
      <c r="E15" s="291"/>
    </row>
    <row r="16" spans="1:10" ht="18" customHeight="1">
      <c r="A16" s="302" t="str">
        <f ca="1">IF(ROWS($1:4)&gt;COUNT(Dong3),"",OFFSET(TH!E$1,SMALL(Dong3,ROWS($1:4)),))</f>
        <v>GBN</v>
      </c>
      <c r="B16" s="290">
        <f ca="1">IF(ROWS($1:4)&gt;COUNT(Dong3),"",OFFSET(TH!F$1,SMALL(Dong3,ROWS($1:4)),))</f>
        <v>41780</v>
      </c>
      <c r="C16" s="301" t="str">
        <f ca="1">IF(ROWS($1:4)&gt;COUNT(Dong3),"",OFFSET(TH!G$1,SMALL(Dong3,ROWS($1:4)),))</f>
        <v xml:space="preserve">VAT Phí chuyển tiền </v>
      </c>
      <c r="D16" s="303">
        <f ca="1">IF(ROWS($1:4)&gt;COUNT(Dong3),"",OFFSET(TH!J$1,SMALL(Dong3,ROWS($1:4)),))</f>
        <v>4500</v>
      </c>
      <c r="E16" s="291"/>
    </row>
    <row r="17" spans="1:5" ht="18" customHeight="1">
      <c r="A17" s="302" t="str">
        <f ca="1">IF(ROWS($1:5)&gt;COUNT(Dong3),"",OFFSET(TH!E$1,SMALL(Dong3,ROWS($1:5)),))</f>
        <v>CTGS</v>
      </c>
      <c r="B17" s="290">
        <f ca="1">IF(ROWS($1:5)&gt;COUNT(Dong3),"",OFFSET(TH!F$1,SMALL(Dong3,ROWS($1:5)),))</f>
        <v>41785</v>
      </c>
      <c r="C17" s="301" t="str">
        <f ca="1">IF(ROWS($1:5)&gt;COUNT(Dong3),"",OFFSET(TH!G$1,SMALL(Dong3,ROWS($1:5)),))</f>
        <v>VAT CSHT - KCN Long Đức</v>
      </c>
      <c r="D17" s="303">
        <f ca="1">IF(ROWS($1:5)&gt;COUNT(Dong3),"",OFFSET(TH!J$1,SMALL(Dong3,ROWS($1:5)),))</f>
        <v>3312000</v>
      </c>
      <c r="E17" s="291"/>
    </row>
    <row r="18" spans="1:5" ht="18" customHeight="1">
      <c r="A18" s="302" t="str">
        <f ca="1">IF(ROWS($1:6)&gt;COUNT(Dong3),"",OFFSET(TH!E$1,SMALL(Dong3,ROWS($1:6)),))</f>
        <v>GBN</v>
      </c>
      <c r="B18" s="290">
        <f ca="1">IF(ROWS($1:6)&gt;COUNT(Dong3),"",OFFSET(TH!F$1,SMALL(Dong3,ROWS($1:6)),))</f>
        <v>41810</v>
      </c>
      <c r="C18" s="301" t="str">
        <f ca="1">IF(ROWS($1:6)&gt;COUNT(Dong3),"",OFFSET(TH!G$1,SMALL(Dong3,ROWS($1:6)),))</f>
        <v>VAT Phí duy trì DV SMS</v>
      </c>
      <c r="D18" s="303">
        <f ca="1">IF(ROWS($1:6)&gt;COUNT(Dong3),"",OFFSET(TH!J$1,SMALL(Dong3,ROWS($1:6)),))</f>
        <v>5000</v>
      </c>
      <c r="E18" s="291"/>
    </row>
    <row r="19" spans="1:5" ht="18" customHeight="1">
      <c r="A19" s="302" t="str">
        <f ca="1">IF(ROWS($1:7)&gt;COUNT(Dong3),"",OFFSET(TH!E$1,SMALL(Dong3,ROWS($1:7)),))</f>
        <v>GBN</v>
      </c>
      <c r="B19" s="290">
        <f ca="1">IF(ROWS($1:7)&gt;COUNT(Dong3),"",OFFSET(TH!F$1,SMALL(Dong3,ROWS($1:7)),))</f>
        <v>41810</v>
      </c>
      <c r="C19" s="301" t="str">
        <f ca="1">IF(ROWS($1:7)&gt;COUNT(Dong3),"",OFFSET(TH!G$1,SMALL(Dong3,ROWS($1:7)),))</f>
        <v>VAT Phí duy trì DV SMS</v>
      </c>
      <c r="D19" s="303">
        <f ca="1">IF(ROWS($1:7)&gt;COUNT(Dong3),"",OFFSET(TH!J$1,SMALL(Dong3,ROWS($1:7)),))</f>
        <v>5000</v>
      </c>
      <c r="E19" s="291"/>
    </row>
    <row r="20" spans="1:5" ht="18" customHeight="1">
      <c r="A20" s="302" t="str">
        <f ca="1">IF(ROWS($1:8)&gt;COUNT(Dong3),"",OFFSET(TH!E$1,SMALL(Dong3,ROWS($1:8)),))</f>
        <v>GBN</v>
      </c>
      <c r="B20" s="290">
        <f ca="1">IF(ROWS($1:8)&gt;COUNT(Dong3),"",OFFSET(TH!F$1,SMALL(Dong3,ROWS($1:8)),))</f>
        <v>41810</v>
      </c>
      <c r="C20" s="301" t="str">
        <f ca="1">IF(ROWS($1:8)&gt;COUNT(Dong3),"",OFFSET(TH!G$1,SMALL(Dong3,ROWS($1:8)),))</f>
        <v>VAT Phí duy trì DV SMS</v>
      </c>
      <c r="D20" s="303">
        <f ca="1">IF(ROWS($1:8)&gt;COUNT(Dong3),"",OFFSET(TH!J$1,SMALL(Dong3,ROWS($1:8)),))</f>
        <v>5000</v>
      </c>
      <c r="E20" s="291"/>
    </row>
    <row r="21" spans="1:5" ht="18" customHeight="1">
      <c r="A21" s="302" t="str">
        <f ca="1">IF(ROWS($1:9)&gt;COUNT(Dong3),"",OFFSET(TH!E$1,SMALL(Dong3,ROWS($1:9)),))</f>
        <v>GBN</v>
      </c>
      <c r="B21" s="290">
        <f ca="1">IF(ROWS($1:9)&gt;COUNT(Dong3),"",OFFSET(TH!F$1,SMALL(Dong3,ROWS($1:9)),))</f>
        <v>41813</v>
      </c>
      <c r="C21" s="301" t="str">
        <f ca="1">IF(ROWS($1:9)&gt;COUNT(Dong3),"",OFFSET(TH!G$1,SMALL(Dong3,ROWS($1:9)),))</f>
        <v xml:space="preserve">VAT Phí chuyển tiền </v>
      </c>
      <c r="D21" s="303">
        <f ca="1">IF(ROWS($1:9)&gt;COUNT(Dong3),"",OFFSET(TH!J$1,SMALL(Dong3,ROWS($1:9)),))</f>
        <v>2000</v>
      </c>
      <c r="E21" s="291"/>
    </row>
    <row r="22" spans="1:5" ht="18" customHeight="1">
      <c r="A22" s="302" t="str">
        <f ca="1">IF(ROWS($1:10)&gt;COUNT(Dong3),"",OFFSET(TH!E$1,SMALL(Dong3,ROWS($1:10)),))</f>
        <v/>
      </c>
      <c r="B22" s="290" t="str">
        <f ca="1">IF(ROWS($1:10)&gt;COUNT(Dong3),"",OFFSET(TH!F$1,SMALL(Dong3,ROWS($1:10)),))</f>
        <v/>
      </c>
      <c r="C22" s="301" t="str">
        <f ca="1">IF(ROWS($1:10)&gt;COUNT(Dong3),"",OFFSET(TH!G$1,SMALL(Dong3,ROWS($1:10)),))</f>
        <v/>
      </c>
      <c r="D22" s="303" t="str">
        <f ca="1">IF(ROWS($1:10)&gt;COUNT(Dong3),"",OFFSET(TH!J$1,SMALL(Dong3,ROWS($1:10)),))</f>
        <v/>
      </c>
      <c r="E22" s="291"/>
    </row>
    <row r="23" spans="1:5" ht="18" customHeight="1">
      <c r="A23" s="302" t="str">
        <f ca="1">IF(ROWS($1:11)&gt;COUNT(Dong3),"",OFFSET(TH!E$1,SMALL(Dong3,ROWS($1:11)),))</f>
        <v/>
      </c>
      <c r="B23" s="290" t="str">
        <f ca="1">IF(ROWS($1:11)&gt;COUNT(Dong3),"",OFFSET(TH!F$1,SMALL(Dong3,ROWS($1:11)),))</f>
        <v/>
      </c>
      <c r="C23" s="301" t="str">
        <f ca="1">IF(ROWS($1:11)&gt;COUNT(Dong3),"",OFFSET(TH!G$1,SMALL(Dong3,ROWS($1:11)),))</f>
        <v/>
      </c>
      <c r="D23" s="303" t="str">
        <f ca="1">IF(ROWS($1:11)&gt;COUNT(Dong3),"",OFFSET(TH!J$1,SMALL(Dong3,ROWS($1:11)),))</f>
        <v/>
      </c>
      <c r="E23" s="291"/>
    </row>
    <row r="24" spans="1:5" ht="18" customHeight="1">
      <c r="A24" s="302" t="str">
        <f ca="1">IF(ROWS($1:12)&gt;COUNT(Dong3),"",OFFSET(TH!E$1,SMALL(Dong3,ROWS($1:12)),))</f>
        <v/>
      </c>
      <c r="B24" s="290" t="str">
        <f ca="1">IF(ROWS($1:12)&gt;COUNT(Dong3),"",OFFSET(TH!F$1,SMALL(Dong3,ROWS($1:12)),))</f>
        <v/>
      </c>
      <c r="C24" s="301" t="str">
        <f ca="1">IF(ROWS($1:12)&gt;COUNT(Dong3),"",OFFSET(TH!G$1,SMALL(Dong3,ROWS($1:12)),))</f>
        <v/>
      </c>
      <c r="D24" s="303" t="str">
        <f ca="1">IF(ROWS($1:12)&gt;COUNT(Dong3),"",OFFSET(TH!J$1,SMALL(Dong3,ROWS($1:12)),))</f>
        <v/>
      </c>
      <c r="E24" s="291"/>
    </row>
    <row r="25" spans="1:5" ht="18" customHeight="1">
      <c r="A25" s="302" t="str">
        <f ca="1">IF(ROWS($1:13)&gt;COUNT(Dong3),"",OFFSET(TH!E$1,SMALL(Dong3,ROWS($1:13)),))</f>
        <v/>
      </c>
      <c r="B25" s="290" t="str">
        <f ca="1">IF(ROWS($1:13)&gt;COUNT(Dong3),"",OFFSET(TH!F$1,SMALL(Dong3,ROWS($1:13)),))</f>
        <v/>
      </c>
      <c r="C25" s="301" t="str">
        <f ca="1">IF(ROWS($1:13)&gt;COUNT(Dong3),"",OFFSET(TH!G$1,SMALL(Dong3,ROWS($1:13)),))</f>
        <v/>
      </c>
      <c r="D25" s="303" t="str">
        <f ca="1">IF(ROWS($1:13)&gt;COUNT(Dong3),"",OFFSET(TH!J$1,SMALL(Dong3,ROWS($1:13)),))</f>
        <v/>
      </c>
      <c r="E25" s="291"/>
    </row>
    <row r="26" spans="1:5" ht="18" customHeight="1">
      <c r="A26" s="302" t="str">
        <f ca="1">IF(ROWS($1:14)&gt;COUNT(Dong3),"",OFFSET(TH!E$1,SMALL(Dong3,ROWS($1:14)),))</f>
        <v/>
      </c>
      <c r="B26" s="290" t="str">
        <f ca="1">IF(ROWS($1:14)&gt;COUNT(Dong3),"",OFFSET(TH!F$1,SMALL(Dong3,ROWS($1:14)),))</f>
        <v/>
      </c>
      <c r="C26" s="301" t="str">
        <f ca="1">IF(ROWS($1:14)&gt;COUNT(Dong3),"",OFFSET(TH!G$1,SMALL(Dong3,ROWS($1:14)),))</f>
        <v/>
      </c>
      <c r="D26" s="303" t="str">
        <f ca="1">IF(ROWS($1:14)&gt;COUNT(Dong3),"",OFFSET(TH!J$1,SMALL(Dong3,ROWS($1:14)),))</f>
        <v/>
      </c>
      <c r="E26" s="291"/>
    </row>
    <row r="27" spans="1:5" ht="18" customHeight="1">
      <c r="A27" s="302" t="str">
        <f ca="1">IF(ROWS($1:15)&gt;COUNT(Dong3),"",OFFSET(TH!E$1,SMALL(Dong3,ROWS($1:15)),))</f>
        <v/>
      </c>
      <c r="B27" s="290" t="str">
        <f ca="1">IF(ROWS($1:15)&gt;COUNT(Dong3),"",OFFSET(TH!F$1,SMALL(Dong3,ROWS($1:15)),))</f>
        <v/>
      </c>
      <c r="C27" s="301" t="str">
        <f ca="1">IF(ROWS($1:15)&gt;COUNT(Dong3),"",OFFSET(TH!G$1,SMALL(Dong3,ROWS($1:15)),))</f>
        <v/>
      </c>
      <c r="D27" s="303" t="str">
        <f ca="1">IF(ROWS($1:15)&gt;COUNT(Dong3),"",OFFSET(TH!J$1,SMALL(Dong3,ROWS($1:15)),))</f>
        <v/>
      </c>
      <c r="E27" s="291"/>
    </row>
    <row r="28" spans="1:5" ht="18" customHeight="1">
      <c r="A28" s="302" t="str">
        <f ca="1">IF(ROWS($1:16)&gt;COUNT(Dong3),"",OFFSET(TH!E$1,SMALL(Dong3,ROWS($1:16)),))</f>
        <v/>
      </c>
      <c r="B28" s="290" t="str">
        <f ca="1">IF(ROWS($1:16)&gt;COUNT(Dong3),"",OFFSET(TH!F$1,SMALL(Dong3,ROWS($1:16)),))</f>
        <v/>
      </c>
      <c r="C28" s="301" t="str">
        <f ca="1">IF(ROWS($1:16)&gt;COUNT(Dong3),"",OFFSET(TH!G$1,SMALL(Dong3,ROWS($1:16)),))</f>
        <v/>
      </c>
      <c r="D28" s="303" t="str">
        <f ca="1">IF(ROWS($1:16)&gt;COUNT(Dong3),"",OFFSET(TH!J$1,SMALL(Dong3,ROWS($1:16)),))</f>
        <v/>
      </c>
      <c r="E28" s="291"/>
    </row>
    <row r="29" spans="1:5" ht="18" customHeight="1">
      <c r="A29" s="302" t="str">
        <f ca="1">IF(ROWS($1:17)&gt;COUNT(Dong3),"",OFFSET(TH!E$1,SMALL(Dong3,ROWS($1:17)),))</f>
        <v/>
      </c>
      <c r="B29" s="290" t="str">
        <f ca="1">IF(ROWS($1:17)&gt;COUNT(Dong3),"",OFFSET(TH!F$1,SMALL(Dong3,ROWS($1:17)),))</f>
        <v/>
      </c>
      <c r="C29" s="301" t="str">
        <f ca="1">IF(ROWS($1:17)&gt;COUNT(Dong3),"",OFFSET(TH!G$1,SMALL(Dong3,ROWS($1:17)),))</f>
        <v/>
      </c>
      <c r="D29" s="303" t="str">
        <f ca="1">IF(ROWS($1:17)&gt;COUNT(Dong3),"",OFFSET(TH!J$1,SMALL(Dong3,ROWS($1:17)),))</f>
        <v/>
      </c>
      <c r="E29" s="291"/>
    </row>
    <row r="30" spans="1:5" ht="18" customHeight="1">
      <c r="A30" s="302" t="str">
        <f ca="1">IF(ROWS($1:18)&gt;COUNT(Dong3),"",OFFSET(TH!E$1,SMALL(Dong3,ROWS($1:18)),))</f>
        <v/>
      </c>
      <c r="B30" s="290" t="str">
        <f ca="1">IF(ROWS($1:18)&gt;COUNT(Dong3),"",OFFSET(TH!F$1,SMALL(Dong3,ROWS($1:18)),))</f>
        <v/>
      </c>
      <c r="C30" s="301" t="str">
        <f ca="1">IF(ROWS($1:18)&gt;COUNT(Dong3),"",OFFSET(TH!G$1,SMALL(Dong3,ROWS($1:18)),))</f>
        <v/>
      </c>
      <c r="D30" s="303" t="str">
        <f ca="1">IF(ROWS($1:18)&gt;COUNT(Dong3),"",OFFSET(TH!J$1,SMALL(Dong3,ROWS($1:18)),))</f>
        <v/>
      </c>
      <c r="E30" s="291"/>
    </row>
    <row r="31" spans="1:5" ht="18" customHeight="1">
      <c r="A31" s="302" t="str">
        <f ca="1">IF(ROWS($1:19)&gt;COUNT(Dong3),"",OFFSET(TH!E$1,SMALL(Dong3,ROWS($1:19)),))</f>
        <v/>
      </c>
      <c r="B31" s="290" t="str">
        <f ca="1">IF(ROWS($1:19)&gt;COUNT(Dong3),"",OFFSET(TH!F$1,SMALL(Dong3,ROWS($1:19)),))</f>
        <v/>
      </c>
      <c r="C31" s="301" t="str">
        <f ca="1">IF(ROWS($1:19)&gt;COUNT(Dong3),"",OFFSET(TH!G$1,SMALL(Dong3,ROWS($1:19)),))</f>
        <v/>
      </c>
      <c r="D31" s="303" t="str">
        <f ca="1">IF(ROWS($1:19)&gt;COUNT(Dong3),"",OFFSET(TH!J$1,SMALL(Dong3,ROWS($1:19)),))</f>
        <v/>
      </c>
      <c r="E31" s="291"/>
    </row>
    <row r="32" spans="1:5" ht="18" customHeight="1">
      <c r="A32" s="302" t="str">
        <f ca="1">IF(ROWS($1:20)&gt;COUNT(Dong3),"",OFFSET(TH!E$1,SMALL(Dong3,ROWS($1:20)),))</f>
        <v/>
      </c>
      <c r="B32" s="290" t="str">
        <f ca="1">IF(ROWS($1:20)&gt;COUNT(Dong3),"",OFFSET(TH!F$1,SMALL(Dong3,ROWS($1:20)),))</f>
        <v/>
      </c>
      <c r="C32" s="301" t="str">
        <f ca="1">IF(ROWS($1:20)&gt;COUNT(Dong3),"",OFFSET(TH!G$1,SMALL(Dong3,ROWS($1:20)),))</f>
        <v/>
      </c>
      <c r="D32" s="303" t="str">
        <f ca="1">IF(ROWS($1:20)&gt;COUNT(Dong3),"",OFFSET(TH!J$1,SMALL(Dong3,ROWS($1:20)),))</f>
        <v/>
      </c>
      <c r="E32" s="291"/>
    </row>
    <row r="33" spans="1:5" ht="18" customHeight="1">
      <c r="A33" s="302" t="str">
        <f ca="1">IF(ROWS($1:21)&gt;COUNT(Dong3),"",OFFSET(TH!E$1,SMALL(Dong3,ROWS($1:21)),))</f>
        <v/>
      </c>
      <c r="B33" s="290" t="str">
        <f ca="1">IF(ROWS($1:21)&gt;COUNT(Dong3),"",OFFSET(TH!F$1,SMALL(Dong3,ROWS($1:21)),))</f>
        <v/>
      </c>
      <c r="C33" s="301" t="str">
        <f ca="1">IF(ROWS($1:21)&gt;COUNT(Dong3),"",OFFSET(TH!G$1,SMALL(Dong3,ROWS($1:21)),))</f>
        <v/>
      </c>
      <c r="D33" s="303" t="str">
        <f ca="1">IF(ROWS($1:21)&gt;COUNT(Dong3),"",OFFSET(TH!J$1,SMALL(Dong3,ROWS($1:21)),))</f>
        <v/>
      </c>
      <c r="E33" s="291"/>
    </row>
    <row r="34" spans="1:5" ht="18" customHeight="1">
      <c r="A34" s="302" t="str">
        <f ca="1">IF(ROWS($1:33)&gt;COUNT(Dong3),"",OFFSET(TH!E$1,SMALL(Dong3,ROWS($1:33)),))</f>
        <v/>
      </c>
      <c r="B34" s="290" t="str">
        <f ca="1">IF(ROWS($1:33)&gt;COUNT(Dong3),"",OFFSET(TH!F$1,SMALL(Dong3,ROWS($1:33)),))</f>
        <v/>
      </c>
      <c r="C34" s="301" t="str">
        <f ca="1">IF(ROWS($1:33)&gt;COUNT(Dong3),"",OFFSET(TH!G$1,SMALL(Dong3,ROWS($1:33)),))</f>
        <v/>
      </c>
      <c r="D34" s="303" t="str">
        <f ca="1">IF(ROWS($1:33)&gt;COUNT(Dong3),"",OFFSET(TH!J$1,SMALL(Dong3,ROWS($1:33)),))</f>
        <v/>
      </c>
      <c r="E34" s="291"/>
    </row>
    <row r="35" spans="1:5" s="281" customFormat="1" ht="18" customHeight="1">
      <c r="A35" s="292"/>
      <c r="B35" s="293"/>
      <c r="C35" s="294" t="s">
        <v>275</v>
      </c>
      <c r="D35" s="295">
        <f ca="1">SUM(D13:D34)</f>
        <v>8838500</v>
      </c>
      <c r="E35" s="295">
        <f>SUM(E13:E34)</f>
        <v>0</v>
      </c>
    </row>
    <row r="36" spans="1:5" s="281" customFormat="1" ht="18" customHeight="1">
      <c r="A36" s="296"/>
      <c r="B36" s="297"/>
      <c r="C36" s="294" t="s">
        <v>276</v>
      </c>
      <c r="D36" s="295">
        <f ca="1">IF(D35+D11-E35&gt;0,D11+D35-E35,0)</f>
        <v>11600690</v>
      </c>
      <c r="E36" s="295"/>
    </row>
    <row r="38" spans="1:5">
      <c r="B38" s="298" t="s">
        <v>277</v>
      </c>
    </row>
    <row r="39" spans="1:5">
      <c r="B39" s="299" t="str">
        <f ca="1">IF(YEAR($B$13)&lt;&gt;2014,"- Ngày mở sổ: 01/01/2014","- Ngày mở sổ: "&amp;DAY($B$13)&amp;"/"&amp;MONTH($B$13)&amp;"/ 2014")</f>
        <v>- Ngày mở sổ: 14/4/ 2014</v>
      </c>
    </row>
    <row r="40" spans="1:5">
      <c r="D40" s="216" t="str">
        <f>"Ngày "&amp;IF(OR($J$9=3,$J$9=12),"31","30")&amp;" tháng "&amp;$J$9&amp;"  năm  2014 "</f>
        <v xml:space="preserve">Ngày 30 tháng 6  năm  2014 </v>
      </c>
    </row>
    <row r="41" spans="1:5" s="274" customFormat="1">
      <c r="A41" s="4"/>
      <c r="B41" s="274" t="s">
        <v>13</v>
      </c>
      <c r="D41" s="274" t="s">
        <v>14</v>
      </c>
    </row>
    <row r="42" spans="1:5" s="274" customFormat="1">
      <c r="A42" s="4"/>
      <c r="B42" s="274" t="s">
        <v>15</v>
      </c>
      <c r="D42" s="274" t="s">
        <v>15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14"/>
  <sheetViews>
    <sheetView showZeros="0" workbookViewId="0">
      <pane ySplit="3" topLeftCell="A4" activePane="bottomLeft" state="frozen"/>
      <selection activeCell="B4" sqref="A4:N18"/>
      <selection pane="bottomLeft" activeCell="F15" sqref="F15"/>
    </sheetView>
  </sheetViews>
  <sheetFormatPr defaultColWidth="8" defaultRowHeight="13.5"/>
  <cols>
    <col min="1" max="1" width="4.28515625" style="304" customWidth="1"/>
    <col min="2" max="2" width="21.85546875" style="304" customWidth="1"/>
    <col min="3" max="4" width="8.7109375" style="304" customWidth="1"/>
    <col min="5" max="10" width="16.28515625" style="304" customWidth="1"/>
    <col min="11" max="16384" width="8" style="304"/>
  </cols>
  <sheetData>
    <row r="1" spans="1:10" ht="21.75" customHeight="1">
      <c r="A1" s="511" t="s">
        <v>440</v>
      </c>
      <c r="B1" s="511"/>
      <c r="C1" s="511"/>
      <c r="D1" s="511"/>
      <c r="E1" s="511"/>
      <c r="F1" s="511"/>
      <c r="G1" s="511"/>
      <c r="H1" s="511"/>
      <c r="I1" s="511"/>
      <c r="J1" s="511"/>
    </row>
    <row r="2" spans="1:10" s="13" customFormat="1" ht="24" customHeight="1">
      <c r="A2" s="512" t="s">
        <v>50</v>
      </c>
      <c r="B2" s="514" t="s">
        <v>279</v>
      </c>
      <c r="C2" s="514" t="s">
        <v>280</v>
      </c>
      <c r="D2" s="514" t="s">
        <v>293</v>
      </c>
      <c r="E2" s="305" t="s">
        <v>52</v>
      </c>
      <c r="F2" s="305"/>
      <c r="G2" s="305" t="s">
        <v>53</v>
      </c>
      <c r="H2" s="305"/>
      <c r="I2" s="305" t="s">
        <v>68</v>
      </c>
      <c r="J2" s="305"/>
    </row>
    <row r="3" spans="1:10" s="13" customFormat="1" ht="24" customHeight="1">
      <c r="A3" s="513"/>
      <c r="B3" s="515"/>
      <c r="C3" s="515"/>
      <c r="D3" s="515"/>
      <c r="E3" s="186" t="s">
        <v>69</v>
      </c>
      <c r="F3" s="186" t="s">
        <v>70</v>
      </c>
      <c r="G3" s="186" t="s">
        <v>69</v>
      </c>
      <c r="H3" s="186" t="s">
        <v>70</v>
      </c>
      <c r="I3" s="186" t="s">
        <v>69</v>
      </c>
      <c r="J3" s="186" t="s">
        <v>70</v>
      </c>
    </row>
    <row r="4" spans="1:10" s="13" customFormat="1" ht="18" customHeight="1">
      <c r="A4" s="6">
        <v>1</v>
      </c>
      <c r="B4" s="7" t="s">
        <v>193</v>
      </c>
      <c r="C4" s="306">
        <v>41870</v>
      </c>
      <c r="D4" s="306">
        <v>46253</v>
      </c>
      <c r="E4" s="8">
        <v>0</v>
      </c>
      <c r="F4" s="8">
        <v>0</v>
      </c>
      <c r="G4" s="8">
        <f t="array" ref="G4">SUM(IF("3411"&amp;B4=KHN&amp;KH,TH))</f>
        <v>0</v>
      </c>
      <c r="H4" s="8">
        <f t="array" ref="H4">SUM(IF("3411"&amp;B4=KHC&amp;KH,TH))</f>
        <v>1000000000</v>
      </c>
      <c r="I4" s="309">
        <f t="shared" ref="I4:I8" si="0">ROUND(MAX(E4+G4-F4-H4,0),2)</f>
        <v>0</v>
      </c>
      <c r="J4" s="309">
        <f t="shared" ref="J4:J8" si="1">ROUND(MAX(F4+H4-E4-G4,0),2)</f>
        <v>1000000000</v>
      </c>
    </row>
    <row r="5" spans="1:10" s="13" customFormat="1" ht="18" customHeight="1">
      <c r="A5" s="6">
        <v>2</v>
      </c>
      <c r="B5" s="7" t="s">
        <v>194</v>
      </c>
      <c r="C5" s="306">
        <v>41905</v>
      </c>
      <c r="D5" s="306">
        <v>46253</v>
      </c>
      <c r="E5" s="8">
        <v>0</v>
      </c>
      <c r="F5" s="8">
        <v>0</v>
      </c>
      <c r="G5" s="8">
        <f t="array" ref="G5">SUM(IF("3411"&amp;B5=KHN&amp;KH,TH))</f>
        <v>0</v>
      </c>
      <c r="H5" s="8">
        <f t="array" ref="H5">SUM(IF("3411"&amp;B5=KHC&amp;KH,TH))</f>
        <v>2000000000</v>
      </c>
      <c r="I5" s="309">
        <f t="shared" si="0"/>
        <v>0</v>
      </c>
      <c r="J5" s="309">
        <f t="shared" si="1"/>
        <v>2000000000</v>
      </c>
    </row>
    <row r="6" spans="1:10" s="13" customFormat="1" ht="18" customHeight="1">
      <c r="A6" s="6">
        <v>3</v>
      </c>
      <c r="B6" s="7" t="s">
        <v>196</v>
      </c>
      <c r="C6" s="306">
        <v>41934</v>
      </c>
      <c r="D6" s="306">
        <v>46253</v>
      </c>
      <c r="E6" s="8">
        <v>0</v>
      </c>
      <c r="F6" s="8">
        <v>0</v>
      </c>
      <c r="G6" s="8">
        <f t="array" ref="G6">SUM(IF("3411"&amp;B6=KHN&amp;KH,TH))</f>
        <v>0</v>
      </c>
      <c r="H6" s="8">
        <f t="array" ref="H6">SUM(IF("3411"&amp;B6=KHC&amp;KH,TH))</f>
        <v>1600000000</v>
      </c>
      <c r="I6" s="309">
        <f t="shared" si="0"/>
        <v>0</v>
      </c>
      <c r="J6" s="309">
        <f t="shared" si="1"/>
        <v>1600000000</v>
      </c>
    </row>
    <row r="7" spans="1:10" s="13" customFormat="1" ht="18" customHeight="1">
      <c r="A7" s="6">
        <v>4</v>
      </c>
      <c r="B7" s="7" t="s">
        <v>195</v>
      </c>
      <c r="C7" s="306">
        <v>41963</v>
      </c>
      <c r="D7" s="306">
        <v>46253</v>
      </c>
      <c r="E7" s="8">
        <v>0</v>
      </c>
      <c r="F7" s="8">
        <v>0</v>
      </c>
      <c r="G7" s="8">
        <f t="array" ref="G7">SUM(IF("3411"&amp;B7=KHN&amp;KH,TH))</f>
        <v>0</v>
      </c>
      <c r="H7" s="8">
        <f t="array" ref="H7">SUM(IF("3411"&amp;B7=KHC&amp;KH,TH))</f>
        <v>1500000000</v>
      </c>
      <c r="I7" s="309">
        <f t="shared" si="0"/>
        <v>0</v>
      </c>
      <c r="J7" s="309">
        <f t="shared" si="1"/>
        <v>1500000000</v>
      </c>
    </row>
    <row r="8" spans="1:10" s="13" customFormat="1" ht="18" customHeight="1">
      <c r="A8" s="6">
        <v>5</v>
      </c>
      <c r="B8" s="7" t="s">
        <v>197</v>
      </c>
      <c r="C8" s="306">
        <v>41984</v>
      </c>
      <c r="D8" s="306">
        <v>46253</v>
      </c>
      <c r="E8" s="8">
        <v>0</v>
      </c>
      <c r="F8" s="8">
        <v>0</v>
      </c>
      <c r="G8" s="8">
        <f t="array" ref="G8">SUM(IF("3411"&amp;B8=KHN&amp;KH,TH))</f>
        <v>0</v>
      </c>
      <c r="H8" s="8">
        <f t="array" ref="H8">SUM(IF("3411"&amp;B8=KHC&amp;KH,TH))</f>
        <v>1000000000</v>
      </c>
      <c r="I8" s="309">
        <f t="shared" si="0"/>
        <v>0</v>
      </c>
      <c r="J8" s="309">
        <f t="shared" si="1"/>
        <v>1000000000</v>
      </c>
    </row>
    <row r="9" spans="1:10" s="13" customFormat="1" ht="18" customHeight="1">
      <c r="A9" s="6"/>
      <c r="B9" s="310"/>
      <c r="C9" s="311"/>
      <c r="D9" s="311"/>
      <c r="E9" s="307"/>
      <c r="F9" s="307"/>
      <c r="G9" s="307"/>
      <c r="H9" s="307"/>
      <c r="I9" s="308"/>
      <c r="J9" s="308"/>
    </row>
    <row r="10" spans="1:10" s="19" customFormat="1" ht="18" customHeight="1">
      <c r="A10" s="16"/>
      <c r="B10" s="17" t="s">
        <v>62</v>
      </c>
      <c r="C10" s="17"/>
      <c r="D10" s="17"/>
      <c r="E10" s="18">
        <f t="shared" ref="E10:J10" si="2">SUM(E4:E9)</f>
        <v>0</v>
      </c>
      <c r="F10" s="18">
        <f t="shared" si="2"/>
        <v>0</v>
      </c>
      <c r="G10" s="18">
        <f t="shared" si="2"/>
        <v>0</v>
      </c>
      <c r="H10" s="18">
        <f t="shared" si="2"/>
        <v>7100000000</v>
      </c>
      <c r="I10" s="18">
        <f t="shared" si="2"/>
        <v>0</v>
      </c>
      <c r="J10" s="18">
        <f t="shared" si="2"/>
        <v>7100000000</v>
      </c>
    </row>
    <row r="14" spans="1:10">
      <c r="G14" s="312"/>
      <c r="H14" s="312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D30" sqref="D30"/>
    </sheetView>
  </sheetViews>
  <sheetFormatPr defaultRowHeight="12.75"/>
  <cols>
    <col min="1" max="1" width="9.140625" style="319"/>
    <col min="2" max="2" width="7.42578125" style="319" customWidth="1"/>
    <col min="3" max="3" width="9.140625" style="319"/>
    <col min="4" max="4" width="24" style="319" customWidth="1"/>
    <col min="5" max="5" width="6.85546875" style="319" customWidth="1"/>
    <col min="6" max="6" width="12.85546875" style="319" customWidth="1"/>
    <col min="7" max="8" width="14.28515625" style="319" customWidth="1"/>
    <col min="9" max="9" width="9.7109375" style="319" customWidth="1"/>
    <col min="10" max="10" width="12.140625" style="319" customWidth="1"/>
    <col min="11" max="11" width="10.85546875" style="319" customWidth="1"/>
    <col min="12" max="12" width="13.42578125" style="319" customWidth="1"/>
    <col min="13" max="13" width="10.85546875" style="319" customWidth="1"/>
    <col min="14" max="14" width="13.42578125" style="319" customWidth="1"/>
    <col min="15" max="16384" width="9.140625" style="319"/>
  </cols>
  <sheetData>
    <row r="1" spans="1:14" s="314" customFormat="1" ht="16.5" customHeight="1">
      <c r="A1" s="320" t="s">
        <v>16</v>
      </c>
      <c r="B1" s="313"/>
      <c r="C1" s="313"/>
      <c r="F1" s="321"/>
      <c r="G1" s="322" t="s">
        <v>281</v>
      </c>
      <c r="H1" s="313"/>
      <c r="I1" s="313"/>
      <c r="L1" s="313"/>
      <c r="M1" s="313"/>
      <c r="N1" s="313"/>
    </row>
    <row r="2" spans="1:14" s="314" customFormat="1" ht="16.5" customHeight="1">
      <c r="A2" s="323" t="s">
        <v>282</v>
      </c>
      <c r="B2" s="187"/>
      <c r="C2" s="187"/>
      <c r="F2" s="321"/>
      <c r="G2" s="314" t="s">
        <v>283</v>
      </c>
      <c r="H2" s="315"/>
      <c r="I2" s="315"/>
      <c r="L2" s="315"/>
      <c r="M2" s="315"/>
      <c r="N2" s="315"/>
    </row>
    <row r="3" spans="1:14" s="314" customFormat="1" ht="16.5" customHeight="1">
      <c r="A3" s="187"/>
      <c r="B3" s="187"/>
      <c r="C3" s="187"/>
      <c r="F3" s="321"/>
      <c r="G3" s="314" t="s">
        <v>267</v>
      </c>
      <c r="H3" s="315"/>
      <c r="I3" s="315"/>
      <c r="L3" s="315"/>
      <c r="M3" s="315"/>
      <c r="N3" s="315"/>
    </row>
    <row r="4" spans="1:14" s="314" customFormat="1" ht="16.5" customHeight="1">
      <c r="A4" s="187"/>
      <c r="B4" s="187"/>
      <c r="C4" s="187"/>
      <c r="F4" s="321"/>
      <c r="H4" s="315"/>
      <c r="I4" s="315"/>
      <c r="J4" s="188"/>
      <c r="K4" s="188"/>
      <c r="L4" s="188"/>
      <c r="M4" s="188"/>
      <c r="N4" s="188"/>
    </row>
    <row r="5" spans="1:14" s="27" customFormat="1" ht="23.25" customHeight="1">
      <c r="A5" s="525" t="s">
        <v>284</v>
      </c>
      <c r="B5" s="525"/>
      <c r="C5" s="525"/>
      <c r="D5" s="525"/>
      <c r="E5" s="525"/>
      <c r="F5" s="525"/>
      <c r="G5" s="525"/>
      <c r="H5" s="525"/>
      <c r="I5" s="324"/>
      <c r="J5" s="324"/>
      <c r="K5" s="324"/>
      <c r="L5" s="324"/>
      <c r="M5" s="324"/>
      <c r="N5" s="324"/>
    </row>
    <row r="6" spans="1:14" s="27" customFormat="1">
      <c r="A6" s="560" t="s">
        <v>285</v>
      </c>
      <c r="B6" s="560"/>
      <c r="C6" s="560"/>
      <c r="D6" s="560"/>
      <c r="E6" s="560"/>
      <c r="F6" s="560"/>
      <c r="G6" s="560"/>
      <c r="H6" s="560"/>
    </row>
    <row r="7" spans="1:14" s="27" customFormat="1">
      <c r="D7" s="556" t="s">
        <v>286</v>
      </c>
      <c r="E7" s="556"/>
      <c r="F7" s="556"/>
    </row>
    <row r="8" spans="1:14" s="27" customFormat="1" ht="15" customHeight="1">
      <c r="D8" s="556" t="s">
        <v>287</v>
      </c>
      <c r="E8" s="556"/>
      <c r="F8" s="556"/>
    </row>
    <row r="9" spans="1:14" s="27" customFormat="1">
      <c r="A9" s="189"/>
      <c r="B9" s="189"/>
      <c r="C9" s="189"/>
      <c r="D9" s="27" t="s">
        <v>288</v>
      </c>
      <c r="E9" s="557" t="s">
        <v>193</v>
      </c>
      <c r="F9" s="557"/>
      <c r="G9" s="189" t="str">
        <f>"ngày: "&amp;TEXT(VLOOKUP($E$9,'3411'!B4:J9,2,0),"dd/MM/yy")</f>
        <v>ngày: 19/08/14</v>
      </c>
      <c r="H9" s="327"/>
      <c r="L9" s="189"/>
      <c r="M9" s="189"/>
      <c r="N9" s="189"/>
    </row>
    <row r="10" spans="1:14" s="27" customFormat="1">
      <c r="D10" s="325" t="s">
        <v>292</v>
      </c>
      <c r="E10" s="328"/>
      <c r="F10" s="326"/>
    </row>
    <row r="11" spans="1:14" s="27" customFormat="1">
      <c r="C11" s="325"/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</row>
    <row r="12" spans="1:14" s="330" customFormat="1" ht="24.75" customHeight="1">
      <c r="A12" s="561" t="s">
        <v>289</v>
      </c>
      <c r="B12" s="558" t="s">
        <v>1</v>
      </c>
      <c r="C12" s="559"/>
      <c r="D12" s="561" t="s">
        <v>0</v>
      </c>
      <c r="E12" s="561" t="s">
        <v>18</v>
      </c>
      <c r="F12" s="563" t="s">
        <v>290</v>
      </c>
      <c r="G12" s="565" t="s">
        <v>257</v>
      </c>
      <c r="H12" s="565"/>
      <c r="I12" s="329"/>
      <c r="J12" s="329"/>
      <c r="K12" s="329"/>
      <c r="L12" s="329"/>
      <c r="M12" s="329"/>
      <c r="N12" s="329"/>
    </row>
    <row r="13" spans="1:14" s="330" customFormat="1" ht="24.75" customHeight="1">
      <c r="A13" s="562"/>
      <c r="B13" s="331" t="s">
        <v>19</v>
      </c>
      <c r="C13" s="331" t="s">
        <v>42</v>
      </c>
      <c r="D13" s="562"/>
      <c r="E13" s="562"/>
      <c r="F13" s="564"/>
      <c r="G13" s="332" t="s">
        <v>32</v>
      </c>
      <c r="H13" s="332" t="s">
        <v>33</v>
      </c>
      <c r="I13" s="333"/>
      <c r="J13" s="333"/>
      <c r="K13" s="333"/>
      <c r="L13" s="333"/>
      <c r="M13" s="333"/>
      <c r="N13" s="333"/>
    </row>
    <row r="14" spans="1:14" s="339" customFormat="1" ht="12" customHeight="1">
      <c r="A14" s="334" t="s">
        <v>2</v>
      </c>
      <c r="B14" s="335" t="s">
        <v>3</v>
      </c>
      <c r="C14" s="336" t="s">
        <v>4</v>
      </c>
      <c r="D14" s="336" t="s">
        <v>5</v>
      </c>
      <c r="E14" s="336" t="s">
        <v>6</v>
      </c>
      <c r="F14" s="337" t="s">
        <v>241</v>
      </c>
      <c r="G14" s="336">
        <v>2</v>
      </c>
      <c r="H14" s="336">
        <v>3</v>
      </c>
      <c r="I14" s="338"/>
      <c r="J14" s="338"/>
      <c r="K14" s="338"/>
      <c r="L14" s="338"/>
      <c r="M14" s="338"/>
      <c r="N14" s="338"/>
    </row>
    <row r="15" spans="1:14" s="324" customFormat="1" ht="23.25" customHeight="1">
      <c r="A15" s="340"/>
      <c r="B15" s="340"/>
      <c r="C15" s="340"/>
      <c r="D15" s="341" t="s">
        <v>7</v>
      </c>
      <c r="E15" s="342"/>
      <c r="F15" s="343"/>
      <c r="G15" s="370">
        <f>VLOOKUP($E$9,'3411'!B4:J9,4,0)</f>
        <v>0</v>
      </c>
      <c r="H15" s="370">
        <f>VLOOKUP($E$9,'3411'!B4:J9,5,0)</f>
        <v>0</v>
      </c>
      <c r="I15" s="344"/>
      <c r="J15" s="344"/>
      <c r="K15" s="345"/>
      <c r="L15" s="346"/>
      <c r="M15" s="345"/>
      <c r="N15" s="346"/>
    </row>
    <row r="16" spans="1:14" s="27" customFormat="1" ht="23.25" customHeight="1">
      <c r="A16" s="347">
        <f ca="1">IF(ROWS($1:1)&gt;COUNT(Dong4),"",OFFSET(TH!D$1,SMALL(Dong4,ROWS($1:1)),))</f>
        <v>41870</v>
      </c>
      <c r="B16" s="348" t="str">
        <f ca="1">IF(ROWS($1:1)&gt;COUNT(Dong4),"",OFFSET(TH!E$1,SMALL(Dong4,ROWS($1:1)),))</f>
        <v>GBC</v>
      </c>
      <c r="C16" s="347">
        <f ca="1">IF(ROWS($1:1)&gt;COUNT(Dong4),"",OFFSET(TH!F$1,SMALL(Dong4,ROWS($1:1)),))</f>
        <v>41870</v>
      </c>
      <c r="D16" s="371" t="str">
        <f ca="1">IF(ROWS($1:1)&gt;COUNT(Dong4),"",OFFSET(TH!G$1,SMALL(Dong4,ROWS($1:1)),))</f>
        <v>Vay KU 1402LDS201401630</v>
      </c>
      <c r="E16" s="349" t="str">
        <f ca="1">IF(ROWS($1:1)&gt;COUNT(Dong4),"",IF(OFFSET(TH!L$1,SMALL(Dong4,ROWS($1:1)),)="3411",OFFSET(TH!K$1,SMALL(Dong4,ROWS($1:1)),),OFFSET(TH!L$1,SMALL(Dong4,ROWS($1:1)),)))</f>
        <v>1121</v>
      </c>
      <c r="F16" s="350">
        <f ca="1">IF(D16&lt;&gt;"",VLOOKUP($E$9,'3411'!$B$4:$F$9,3,0),"")</f>
        <v>46253</v>
      </c>
      <c r="G16" s="372">
        <f ca="1">IF(ROWS($1:1)&gt;COUNT(Dong4),"",IF(OFFSET(TH!K$1,SMALL(Dong4,ROWS($1:1)),)="3411",OFFSET(TH!J$1,SMALL(Dong4,ROWS($1:1)),),0))</f>
        <v>0</v>
      </c>
      <c r="H16" s="372">
        <f ca="1">IF(ROWS($1:1)&gt;COUNT(Dong4),"",IF(OFFSET(TH!L$1,SMALL(Dong4,ROWS($1:1)),)="3411",OFFSET(TH!J$1,SMALL(Dong4,ROWS($1:1)),),0))</f>
        <v>1000000000</v>
      </c>
      <c r="I16" s="351"/>
      <c r="J16" s="352"/>
      <c r="K16" s="351"/>
      <c r="L16" s="352"/>
      <c r="M16" s="351"/>
      <c r="N16" s="352"/>
    </row>
    <row r="17" spans="1:14" s="27" customFormat="1" ht="23.25" customHeight="1">
      <c r="A17" s="347" t="str">
        <f ca="1">IF(ROWS($1:2)&gt;COUNT(Dong4),"",OFFSET(TH!D$1,SMALL(Dong4,ROWS($1:2)),))</f>
        <v/>
      </c>
      <c r="B17" s="348" t="str">
        <f ca="1">IF(ROWS($1:2)&gt;COUNT(Dong4),"",OFFSET(TH!E$1,SMALL(Dong4,ROWS($1:2)),))</f>
        <v/>
      </c>
      <c r="C17" s="347" t="str">
        <f ca="1">IF(ROWS($1:2)&gt;COUNT(Dong4),"",OFFSET(TH!F$1,SMALL(Dong4,ROWS($1:2)),))</f>
        <v/>
      </c>
      <c r="D17" s="371" t="str">
        <f ca="1">IF(ROWS($1:2)&gt;COUNT(Dong4),"",OFFSET(TH!G$1,SMALL(Dong4,ROWS($1:2)),))</f>
        <v/>
      </c>
      <c r="E17" s="349" t="str">
        <f ca="1">IF(ROWS($1:2)&gt;COUNT(Dong4),"",IF(OFFSET(TH!L$1,SMALL(Dong4,ROWS($1:2)),)="3411",OFFSET(TH!K$1,SMALL(Dong4,ROWS($1:2)),),OFFSET(TH!L$1,SMALL(Dong4,ROWS($1:2)),)))</f>
        <v/>
      </c>
      <c r="F17" s="350" t="str">
        <f ca="1">IF(D17&lt;&gt;"",VLOOKUP($E$9,'3411'!$B$4:$F$9,3,0),"")</f>
        <v/>
      </c>
      <c r="G17" s="372" t="str">
        <f ca="1">IF(ROWS($1:2)&gt;COUNT(Dong4),"",IF(OFFSET(TH!K$1,SMALL(Dong4,ROWS($1:2)),)="3411",OFFSET(TH!J$1,SMALL(Dong4,ROWS($1:2)),),0))</f>
        <v/>
      </c>
      <c r="H17" s="372" t="str">
        <f ca="1">IF(ROWS($1:2)&gt;COUNT(Dong4),"",IF(OFFSET(TH!L$1,SMALL(Dong4,ROWS($1:2)),)="3411",OFFSET(TH!J$1,SMALL(Dong4,ROWS($1:2)),),0))</f>
        <v/>
      </c>
      <c r="I17" s="351"/>
      <c r="J17" s="352"/>
      <c r="K17" s="351"/>
      <c r="L17" s="352"/>
      <c r="M17" s="351"/>
      <c r="N17" s="352"/>
    </row>
    <row r="18" spans="1:14" s="27" customFormat="1" ht="23.25" customHeight="1">
      <c r="A18" s="316"/>
      <c r="B18" s="316"/>
      <c r="C18" s="316"/>
      <c r="D18" s="353"/>
      <c r="E18" s="354"/>
      <c r="F18" s="355"/>
      <c r="G18" s="353"/>
      <c r="H18" s="353"/>
      <c r="I18" s="325"/>
      <c r="J18" s="325"/>
      <c r="K18" s="351"/>
      <c r="L18" s="352"/>
      <c r="M18" s="356"/>
      <c r="N18" s="352"/>
    </row>
    <row r="19" spans="1:14" s="324" customFormat="1" ht="23.25" customHeight="1">
      <c r="A19" s="357"/>
      <c r="B19" s="357"/>
      <c r="C19" s="357"/>
      <c r="D19" s="358" t="s">
        <v>46</v>
      </c>
      <c r="E19" s="359" t="s">
        <v>25</v>
      </c>
      <c r="F19" s="360" t="s">
        <v>25</v>
      </c>
      <c r="G19" s="361">
        <f ca="1">SUM(G16:G18)</f>
        <v>0</v>
      </c>
      <c r="H19" s="362">
        <f ca="1">SUM(H16:H18)</f>
        <v>1000000000</v>
      </c>
      <c r="I19" s="363"/>
      <c r="J19" s="364"/>
      <c r="K19" s="364"/>
      <c r="L19" s="344"/>
      <c r="M19" s="364"/>
      <c r="N19" s="364"/>
    </row>
    <row r="20" spans="1:14" s="324" customFormat="1" ht="23.25" customHeight="1">
      <c r="A20" s="365"/>
      <c r="B20" s="365"/>
      <c r="C20" s="365"/>
      <c r="D20" s="358" t="s">
        <v>12</v>
      </c>
      <c r="E20" s="359" t="s">
        <v>25</v>
      </c>
      <c r="F20" s="360" t="s">
        <v>25</v>
      </c>
      <c r="G20" s="366">
        <f ca="1">IF(G15+G19-H19&gt;0,G15+G19-H19,0)</f>
        <v>0</v>
      </c>
      <c r="H20" s="362">
        <f ca="1">IF(H15+H19-G19&gt;0,H15+H19-G19,0)</f>
        <v>1000000000</v>
      </c>
      <c r="I20" s="329"/>
      <c r="J20" s="329"/>
      <c r="K20" s="367"/>
      <c r="L20" s="364"/>
      <c r="M20" s="363"/>
      <c r="N20" s="364"/>
    </row>
    <row r="21" spans="1:14" s="27" customFormat="1">
      <c r="E21" s="189"/>
      <c r="F21" s="327"/>
    </row>
    <row r="22" spans="1:14" s="27" customFormat="1">
      <c r="A22" s="368" t="s">
        <v>291</v>
      </c>
      <c r="C22" s="317"/>
      <c r="E22" s="189"/>
      <c r="F22" s="327"/>
    </row>
    <row r="23" spans="1:14" s="27" customFormat="1">
      <c r="A23" s="368" t="str">
        <f ca="1">"- Ngày mở sổ: "&amp;DAY(A16)&amp;"/"&amp;MONTH(A16)&amp;"/"&amp;YEAR(A16)</f>
        <v>- Ngày mở sổ: 19/8/2014</v>
      </c>
      <c r="C23" s="317"/>
      <c r="E23" s="189"/>
      <c r="F23" s="327"/>
    </row>
    <row r="24" spans="1:14" s="27" customFormat="1">
      <c r="E24" s="189"/>
      <c r="F24" s="327"/>
      <c r="G24" s="369" t="str">
        <f ca="1">"Ngày 31 tháng 12 năm "&amp;YEAR(A16)</f>
        <v>Ngày 31 tháng 12 năm 2014</v>
      </c>
    </row>
    <row r="25" spans="1:14" s="27" customFormat="1">
      <c r="C25" s="189" t="s">
        <v>13</v>
      </c>
      <c r="E25" s="189"/>
      <c r="F25" s="327"/>
      <c r="G25" s="189" t="s">
        <v>14</v>
      </c>
    </row>
    <row r="26" spans="1:14" s="27" customFormat="1">
      <c r="C26" s="189" t="s">
        <v>15</v>
      </c>
      <c r="E26" s="189"/>
      <c r="F26" s="327"/>
      <c r="G26" s="189" t="s">
        <v>15</v>
      </c>
    </row>
    <row r="27" spans="1:14" s="318" customFormat="1"/>
    <row r="28" spans="1:14" s="318" customFormat="1"/>
    <row r="29" spans="1:14" s="318" customFormat="1"/>
    <row r="30" spans="1:14" s="318" customFormat="1"/>
    <row r="31" spans="1:14" s="318" customFormat="1"/>
    <row r="32" spans="1:14" s="318" customFormat="1"/>
    <row r="33" s="318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K35" sqref="K35"/>
    </sheetView>
  </sheetViews>
  <sheetFormatPr defaultRowHeight="15"/>
  <cols>
    <col min="1" max="1" width="10.42578125" style="274" customWidth="1"/>
    <col min="2" max="2" width="8.28515625" style="274" customWidth="1"/>
    <col min="3" max="3" width="10.28515625" style="274" customWidth="1"/>
    <col min="4" max="4" width="38.42578125" style="5" customWidth="1"/>
    <col min="5" max="5" width="7.28515625" style="274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295</v>
      </c>
      <c r="G2" s="526" t="s">
        <v>296</v>
      </c>
      <c r="H2" s="526"/>
      <c r="I2" s="526"/>
    </row>
    <row r="3" spans="1:9" ht="15.75" customHeight="1">
      <c r="A3" s="1" t="s">
        <v>297</v>
      </c>
      <c r="G3" s="527" t="s">
        <v>229</v>
      </c>
      <c r="H3" s="527"/>
      <c r="I3" s="527"/>
    </row>
    <row r="4" spans="1:9">
      <c r="F4" s="26"/>
      <c r="G4" s="527"/>
      <c r="H4" s="527"/>
      <c r="I4" s="527"/>
    </row>
    <row r="5" spans="1:9" ht="17.25" customHeight="1">
      <c r="A5" s="568" t="s">
        <v>298</v>
      </c>
      <c r="B5" s="568"/>
      <c r="C5" s="568"/>
      <c r="D5" s="568"/>
      <c r="E5" s="568"/>
      <c r="F5" s="568"/>
      <c r="G5" s="568"/>
      <c r="H5" s="568"/>
      <c r="I5" s="568"/>
    </row>
    <row r="6" spans="1:9">
      <c r="A6" s="569" t="s">
        <v>299</v>
      </c>
      <c r="B6" s="570"/>
      <c r="C6" s="570"/>
      <c r="D6" s="570"/>
      <c r="E6" s="570"/>
      <c r="F6" s="570"/>
      <c r="G6" s="570"/>
      <c r="H6" s="570"/>
      <c r="I6" s="570"/>
    </row>
    <row r="7" spans="1:9">
      <c r="B7" s="5"/>
      <c r="C7" s="5"/>
      <c r="D7" s="376" t="s">
        <v>300</v>
      </c>
      <c r="E7" s="377" t="s">
        <v>167</v>
      </c>
    </row>
    <row r="8" spans="1:9">
      <c r="B8" s="5"/>
      <c r="C8" s="5"/>
      <c r="D8" s="376" t="s">
        <v>301</v>
      </c>
      <c r="E8" s="5" t="str">
        <f>VLOOKUP($E$7,DSTK,2,0)</f>
        <v xml:space="preserve"> Xác định kết quả kinh doanh </v>
      </c>
    </row>
    <row r="9" spans="1:9">
      <c r="A9" s="570" t="s">
        <v>39</v>
      </c>
      <c r="B9" s="571"/>
      <c r="C9" s="571"/>
      <c r="D9" s="571"/>
      <c r="E9" s="571"/>
      <c r="F9" s="571"/>
      <c r="G9" s="571"/>
      <c r="H9" s="571"/>
      <c r="I9" s="571"/>
    </row>
    <row r="10" spans="1:9" ht="9.75" customHeight="1">
      <c r="C10" s="572"/>
      <c r="D10" s="573"/>
      <c r="E10" s="573"/>
      <c r="F10" s="573"/>
      <c r="G10" s="573"/>
      <c r="H10" s="573"/>
      <c r="I10" s="573"/>
    </row>
    <row r="11" spans="1:9" ht="19.5" customHeight="1">
      <c r="A11" s="574" t="s">
        <v>30</v>
      </c>
      <c r="B11" s="566" t="s">
        <v>1</v>
      </c>
      <c r="C11" s="575"/>
      <c r="D11" s="574" t="s">
        <v>0</v>
      </c>
      <c r="E11" s="574" t="s">
        <v>18</v>
      </c>
      <c r="F11" s="566" t="s">
        <v>31</v>
      </c>
      <c r="G11" s="575"/>
      <c r="H11" s="566" t="s">
        <v>41</v>
      </c>
      <c r="I11" s="567"/>
    </row>
    <row r="12" spans="1:9" ht="37.5" customHeight="1">
      <c r="A12" s="574"/>
      <c r="B12" s="378" t="s">
        <v>19</v>
      </c>
      <c r="C12" s="378" t="s">
        <v>42</v>
      </c>
      <c r="D12" s="574"/>
      <c r="E12" s="574"/>
      <c r="F12" s="378" t="s">
        <v>32</v>
      </c>
      <c r="G12" s="378" t="s">
        <v>33</v>
      </c>
      <c r="H12" s="378" t="s">
        <v>32</v>
      </c>
      <c r="I12" s="378" t="s">
        <v>33</v>
      </c>
    </row>
    <row r="13" spans="1:9" s="373" customFormat="1" ht="11.25" customHeight="1">
      <c r="A13" s="374" t="s">
        <v>2</v>
      </c>
      <c r="B13" s="375" t="s">
        <v>3</v>
      </c>
      <c r="C13" s="374" t="s">
        <v>4</v>
      </c>
      <c r="D13" s="374" t="s">
        <v>5</v>
      </c>
      <c r="E13" s="374" t="s">
        <v>6</v>
      </c>
      <c r="F13" s="374">
        <v>1</v>
      </c>
      <c r="G13" s="374">
        <v>2</v>
      </c>
      <c r="H13" s="374">
        <v>3</v>
      </c>
      <c r="I13" s="374">
        <v>4</v>
      </c>
    </row>
    <row r="14" spans="1:9" ht="16.5" customHeight="1">
      <c r="A14" s="379"/>
      <c r="B14" s="380"/>
      <c r="C14" s="379"/>
      <c r="D14" s="381" t="s">
        <v>7</v>
      </c>
      <c r="E14" s="380"/>
      <c r="F14" s="382"/>
      <c r="G14" s="382"/>
      <c r="H14" s="382">
        <f>VLOOKUP($E$7,DSTK,3,0)</f>
        <v>0</v>
      </c>
      <c r="I14" s="382">
        <f>VLOOKUP($E$7,DSTK,4,0)</f>
        <v>0</v>
      </c>
    </row>
    <row r="15" spans="1:9" ht="16.5" customHeight="1">
      <c r="A15" s="290">
        <f ca="1">IF(ROWS($1:1)&gt;COUNT(Dong5),"",OFFSET(TH!D$1,SMALL(Dong5,ROWS($1:1)),))</f>
        <v>42369</v>
      </c>
      <c r="B15" s="290" t="str">
        <f ca="1">IF(ROWS($1:1)&gt;COUNT(Dong5),"",OFFSET(TH!E$1,SMALL(Dong5,ROWS($1:1)),))</f>
        <v>BTKC</v>
      </c>
      <c r="C15" s="290">
        <f ca="1">IF(ROWS($1:1)&gt;COUNT(Dong5),"",OFFSET(TH!F$1,SMALL(Dong5,ROWS($1:1)),))</f>
        <v>42369</v>
      </c>
      <c r="D15" s="301" t="str">
        <f ca="1">IF(ROWS($1:1)&gt;COUNT(Dong5),"",OFFSET(TH!G$1,SMALL(Dong5,ROWS($1:1)),))</f>
        <v>K/C lãi SXKD</v>
      </c>
      <c r="E15" s="290" t="str">
        <f ca="1">IF(ROWS($1:1)&gt;COUNT(Dong5),"",IF(OFFSET(TH!K$1,SMALL(Dong5,ROWS($1:1)),)=$E$7,OFFSET(TH!L$1,SMALL(Dong5,ROWS($1:1)),),OFFSET(TH!K$1,SMALL(Dong5,ROWS($1:1)),)))</f>
        <v>4212</v>
      </c>
      <c r="F15" s="383">
        <f ca="1">IF(ROWS($1:1)&gt;COUNT(Dong5),0,IF(OFFSET(TH!K$1,SMALL(Dong5,ROWS($1:1)),)=$E$7,OFFSET(TH!J$1,SMALL(Dong5,ROWS($1:1)),),0))</f>
        <v>0</v>
      </c>
      <c r="G15" s="382">
        <f ca="1">IF(ROWS($1:1)&gt;COUNT(Dong5),0,IF(OFFSET(TH!L$1,SMALL(Dong5,ROWS($1:1)),)=$E$7,OFFSET(TH!J$1,SMALL(Dong5,ROWS($1:1)),),0))</f>
        <v>98861505</v>
      </c>
      <c r="H15" s="384">
        <f ca="1">IF(D15&lt;&gt;"",MAX(H14+F15-G15-I14,0),0)</f>
        <v>0</v>
      </c>
      <c r="I15" s="384">
        <f ca="1">IF(D15&lt;&gt;"",MAX(I14+G15-H14-F15,0),0)</f>
        <v>98861505</v>
      </c>
    </row>
    <row r="16" spans="1:9" ht="16.5" customHeight="1">
      <c r="A16" s="290">
        <f ca="1">IF(ROWS($1:2)&gt;COUNT(Dong5),"",OFFSET(TH!D$1,SMALL(Dong5,ROWS($1:2)),))</f>
        <v>42369</v>
      </c>
      <c r="B16" s="290" t="str">
        <f ca="1">IF(ROWS($1:2)&gt;COUNT(Dong5),"",OFFSET(TH!E$1,SMALL(Dong5,ROWS($1:2)),))</f>
        <v>BTKC</v>
      </c>
      <c r="C16" s="290">
        <f ca="1">IF(ROWS($1:2)&gt;COUNT(Dong5),"",OFFSET(TH!F$1,SMALL(Dong5,ROWS($1:2)),))</f>
        <v>42369</v>
      </c>
      <c r="D16" s="301" t="str">
        <f ca="1">IF(ROWS($1:2)&gt;COUNT(Dong5),"",OFFSET(TH!G$1,SMALL(Dong5,ROWS($1:2)),))</f>
        <v>K/C chi phí quản lý doanh nghiệp</v>
      </c>
      <c r="E16" s="290" t="str">
        <f ca="1">IF(ROWS($1:2)&gt;COUNT(Dong5),"",IF(OFFSET(TH!K$1,SMALL(Dong5,ROWS($1:2)),)=$E$7,OFFSET(TH!L$1,SMALL(Dong5,ROWS($1:2)),),OFFSET(TH!K$1,SMALL(Dong5,ROWS($1:2)),)))</f>
        <v>642</v>
      </c>
      <c r="F16" s="383">
        <f ca="1">IF(ROWS($1:2)&gt;COUNT(Dong5),0,IF(OFFSET(TH!K$1,SMALL(Dong5,ROWS($1:2)),)=$E$7,OFFSET(TH!J$1,SMALL(Dong5,ROWS($1:2)),),0))</f>
        <v>99608749</v>
      </c>
      <c r="G16" s="382">
        <f ca="1">IF(ROWS($1:2)&gt;COUNT(Dong5),0,IF(OFFSET(TH!L$1,SMALL(Dong5,ROWS($1:2)),)=$E$7,OFFSET(TH!J$1,SMALL(Dong5,ROWS($1:2)),),0))</f>
        <v>0</v>
      </c>
      <c r="H16" s="384">
        <f t="shared" ref="H16:H32" ca="1" si="0">IF(D16&lt;&gt;"",MAX(H15+F16-G16-I15,0),0)</f>
        <v>747244</v>
      </c>
      <c r="I16" s="384">
        <f t="shared" ref="I16:I32" ca="1" si="1">IF(D16&lt;&gt;"",MAX(I15+G16-H15-F16,0),0)</f>
        <v>0</v>
      </c>
    </row>
    <row r="17" spans="1:9" ht="16.5" customHeight="1">
      <c r="A17" s="290">
        <f ca="1">IF(ROWS($1:3)&gt;COUNT(Dong5),"",OFFSET(TH!D$1,SMALL(Dong5,ROWS($1:3)),))</f>
        <v>42369</v>
      </c>
      <c r="B17" s="290" t="str">
        <f ca="1">IF(ROWS($1:3)&gt;COUNT(Dong5),"",OFFSET(TH!E$1,SMALL(Dong5,ROWS($1:3)),))</f>
        <v>BTKC</v>
      </c>
      <c r="C17" s="290">
        <f ca="1">IF(ROWS($1:3)&gt;COUNT(Dong5),"",OFFSET(TH!F$1,SMALL(Dong5,ROWS($1:3)),))</f>
        <v>42369</v>
      </c>
      <c r="D17" s="301" t="str">
        <f ca="1">IF(ROWS($1:3)&gt;COUNT(Dong5),"",OFFSET(TH!G$1,SMALL(Dong5,ROWS($1:3)),))</f>
        <v>K/C doanh thu hoạt động tài chính</v>
      </c>
      <c r="E17" s="290" t="str">
        <f ca="1">IF(ROWS($1:3)&gt;COUNT(Dong5),"",IF(OFFSET(TH!K$1,SMALL(Dong5,ROWS($1:3)),)=$E$7,OFFSET(TH!L$1,SMALL(Dong5,ROWS($1:3)),),OFFSET(TH!K$1,SMALL(Dong5,ROWS($1:3)),)))</f>
        <v>515</v>
      </c>
      <c r="F17" s="383">
        <f ca="1">IF(ROWS($1:3)&gt;COUNT(Dong5),0,IF(OFFSET(TH!K$1,SMALL(Dong5,ROWS($1:3)),)=$E$7,OFFSET(TH!J$1,SMALL(Dong5,ROWS($1:3)),),0))</f>
        <v>0</v>
      </c>
      <c r="G17" s="382">
        <f ca="1">IF(ROWS($1:3)&gt;COUNT(Dong5),0,IF(OFFSET(TH!L$1,SMALL(Dong5,ROWS($1:3)),)=$E$7,OFFSET(TH!J$1,SMALL(Dong5,ROWS($1:3)),),0))</f>
        <v>747244</v>
      </c>
      <c r="H17" s="384">
        <f t="shared" ca="1" si="0"/>
        <v>0</v>
      </c>
      <c r="I17" s="384">
        <f t="shared" ca="1" si="1"/>
        <v>0</v>
      </c>
    </row>
    <row r="18" spans="1:9" ht="16.5" customHeight="1">
      <c r="A18" s="290">
        <f ca="1">IF(ROWS($1:4)&gt;COUNT(Dong5),"",OFFSET(TH!D$1,SMALL(Dong5,ROWS($1:4)),))</f>
        <v>42369</v>
      </c>
      <c r="B18" s="290" t="str">
        <f ca="1">IF(ROWS($1:4)&gt;COUNT(Dong5),"",OFFSET(TH!E$1,SMALL(Dong5,ROWS($1:4)),))</f>
        <v>BTKC</v>
      </c>
      <c r="C18" s="290">
        <f ca="1">IF(ROWS($1:4)&gt;COUNT(Dong5),"",OFFSET(TH!F$1,SMALL(Dong5,ROWS($1:4)),))</f>
        <v>42369</v>
      </c>
      <c r="D18" s="301" t="str">
        <f ca="1">IF(ROWS($1:4)&gt;COUNT(Dong5),"",OFFSET(TH!G$1,SMALL(Dong5,ROWS($1:4)),))</f>
        <v>K/C thu nhập khác</v>
      </c>
      <c r="E18" s="290" t="str">
        <f ca="1">IF(ROWS($1:4)&gt;COUNT(Dong5),"",IF(OFFSET(TH!K$1,SMALL(Dong5,ROWS($1:4)),)=$E$7,OFFSET(TH!L$1,SMALL(Dong5,ROWS($1:4)),),OFFSET(TH!K$1,SMALL(Dong5,ROWS($1:4)),)))</f>
        <v>711</v>
      </c>
      <c r="F18" s="383">
        <f ca="1">IF(ROWS($1:4)&gt;COUNT(Dong5),0,IF(OFFSET(TH!K$1,SMALL(Dong5,ROWS($1:4)),)=$E$7,OFFSET(TH!J$1,SMALL(Dong5,ROWS($1:4)),),0))</f>
        <v>0</v>
      </c>
      <c r="G18" s="382">
        <f ca="1">IF(ROWS($1:4)&gt;COUNT(Dong5),0,IF(OFFSET(TH!L$1,SMALL(Dong5,ROWS($1:4)),)=$E$7,OFFSET(TH!J$1,SMALL(Dong5,ROWS($1:4)),),0))</f>
        <v>0</v>
      </c>
      <c r="H18" s="384">
        <f t="shared" ca="1" si="0"/>
        <v>0</v>
      </c>
      <c r="I18" s="384">
        <f t="shared" ca="1" si="1"/>
        <v>0</v>
      </c>
    </row>
    <row r="19" spans="1:9" ht="16.5" customHeight="1">
      <c r="A19" s="290">
        <f ca="1">IF(ROWS($1:5)&gt;COUNT(Dong5),"",OFFSET(TH!D$1,SMALL(Dong5,ROWS($1:5)),))</f>
        <v>42369</v>
      </c>
      <c r="B19" s="290" t="str">
        <f ca="1">IF(ROWS($1:5)&gt;COUNT(Dong5),"",OFFSET(TH!E$1,SMALL(Dong5,ROWS($1:5)),))</f>
        <v>BTKC</v>
      </c>
      <c r="C19" s="290">
        <f ca="1">IF(ROWS($1:5)&gt;COUNT(Dong5),"",OFFSET(TH!F$1,SMALL(Dong5,ROWS($1:5)),))</f>
        <v>42369</v>
      </c>
      <c r="D19" s="301" t="str">
        <f ca="1">IF(ROWS($1:5)&gt;COUNT(Dong5),"",OFFSET(TH!G$1,SMALL(Dong5,ROWS($1:5)),))</f>
        <v>K/C chi phí khác</v>
      </c>
      <c r="E19" s="290" t="str">
        <f ca="1">IF(ROWS($1:5)&gt;COUNT(Dong5),"",IF(OFFSET(TH!K$1,SMALL(Dong5,ROWS($1:5)),)=$E$7,OFFSET(TH!L$1,SMALL(Dong5,ROWS($1:5)),),OFFSET(TH!K$1,SMALL(Dong5,ROWS($1:5)),)))</f>
        <v>811</v>
      </c>
      <c r="F19" s="383">
        <f ca="1">IF(ROWS($1:5)&gt;COUNT(Dong5),0,IF(OFFSET(TH!K$1,SMALL(Dong5,ROWS($1:5)),)=$E$7,OFFSET(TH!J$1,SMALL(Dong5,ROWS($1:5)),),0))</f>
        <v>0</v>
      </c>
      <c r="G19" s="382">
        <f ca="1">IF(ROWS($1:5)&gt;COUNT(Dong5),0,IF(OFFSET(TH!L$1,SMALL(Dong5,ROWS($1:5)),)=$E$7,OFFSET(TH!J$1,SMALL(Dong5,ROWS($1:5)),),0))</f>
        <v>0</v>
      </c>
      <c r="H19" s="384">
        <f t="shared" ca="1" si="0"/>
        <v>0</v>
      </c>
      <c r="I19" s="384">
        <f t="shared" ca="1" si="1"/>
        <v>0</v>
      </c>
    </row>
    <row r="20" spans="1:9" ht="16.5" customHeight="1">
      <c r="A20" s="290" t="str">
        <f ca="1">IF(ROWS($1:6)&gt;COUNT(Dong5),"",OFFSET(TH!D$1,SMALL(Dong5,ROWS($1:6)),))</f>
        <v/>
      </c>
      <c r="B20" s="290" t="str">
        <f ca="1">IF(ROWS($1:6)&gt;COUNT(Dong5),"",OFFSET(TH!E$1,SMALL(Dong5,ROWS($1:6)),))</f>
        <v/>
      </c>
      <c r="C20" s="290" t="str">
        <f ca="1">IF(ROWS($1:6)&gt;COUNT(Dong5),"",OFFSET(TH!F$1,SMALL(Dong5,ROWS($1:6)),))</f>
        <v/>
      </c>
      <c r="D20" s="301" t="str">
        <f ca="1">IF(ROWS($1:6)&gt;COUNT(Dong5),"",OFFSET(TH!G$1,SMALL(Dong5,ROWS($1:6)),))</f>
        <v/>
      </c>
      <c r="E20" s="290" t="str">
        <f ca="1">IF(ROWS($1:6)&gt;COUNT(Dong5),"",IF(OFFSET(TH!K$1,SMALL(Dong5,ROWS($1:6)),)=$E$7,OFFSET(TH!L$1,SMALL(Dong5,ROWS($1:6)),),OFFSET(TH!K$1,SMALL(Dong5,ROWS($1:6)),)))</f>
        <v/>
      </c>
      <c r="F20" s="383">
        <f ca="1">IF(ROWS($1:6)&gt;COUNT(Dong5),0,IF(OFFSET(TH!K$1,SMALL(Dong5,ROWS($1:6)),)=$E$7,OFFSET(TH!J$1,SMALL(Dong5,ROWS($1:6)),),0))</f>
        <v>0</v>
      </c>
      <c r="G20" s="382">
        <f ca="1">IF(ROWS($1:6)&gt;COUNT(Dong5),0,IF(OFFSET(TH!L$1,SMALL(Dong5,ROWS($1:6)),)=$E$7,OFFSET(TH!J$1,SMALL(Dong5,ROWS($1:6)),),0))</f>
        <v>0</v>
      </c>
      <c r="H20" s="384">
        <f t="shared" ca="1" si="0"/>
        <v>0</v>
      </c>
      <c r="I20" s="384">
        <f t="shared" ca="1" si="1"/>
        <v>0</v>
      </c>
    </row>
    <row r="21" spans="1:9" ht="16.5" customHeight="1">
      <c r="A21" s="290" t="str">
        <f ca="1">IF(ROWS($1:7)&gt;COUNT(Dong5),"",OFFSET(TH!D$1,SMALL(Dong5,ROWS($1:7)),))</f>
        <v/>
      </c>
      <c r="B21" s="290" t="str">
        <f ca="1">IF(ROWS($1:7)&gt;COUNT(Dong5),"",OFFSET(TH!E$1,SMALL(Dong5,ROWS($1:7)),))</f>
        <v/>
      </c>
      <c r="C21" s="290" t="str">
        <f ca="1">IF(ROWS($1:7)&gt;COUNT(Dong5),"",OFFSET(TH!F$1,SMALL(Dong5,ROWS($1:7)),))</f>
        <v/>
      </c>
      <c r="D21" s="301" t="str">
        <f ca="1">IF(ROWS($1:7)&gt;COUNT(Dong5),"",OFFSET(TH!G$1,SMALL(Dong5,ROWS($1:7)),))</f>
        <v/>
      </c>
      <c r="E21" s="290" t="str">
        <f ca="1">IF(ROWS($1:7)&gt;COUNT(Dong5),"",IF(OFFSET(TH!K$1,SMALL(Dong5,ROWS($1:7)),)=$E$7,OFFSET(TH!L$1,SMALL(Dong5,ROWS($1:7)),),OFFSET(TH!K$1,SMALL(Dong5,ROWS($1:7)),)))</f>
        <v/>
      </c>
      <c r="F21" s="383">
        <f ca="1">IF(ROWS($1:7)&gt;COUNT(Dong5),0,IF(OFFSET(TH!K$1,SMALL(Dong5,ROWS($1:7)),)=$E$7,OFFSET(TH!J$1,SMALL(Dong5,ROWS($1:7)),),0))</f>
        <v>0</v>
      </c>
      <c r="G21" s="382">
        <f ca="1">IF(ROWS($1:7)&gt;COUNT(Dong5),0,IF(OFFSET(TH!L$1,SMALL(Dong5,ROWS($1:7)),)=$E$7,OFFSET(TH!J$1,SMALL(Dong5,ROWS($1:7)),),0))</f>
        <v>0</v>
      </c>
      <c r="H21" s="384">
        <f t="shared" ca="1" si="0"/>
        <v>0</v>
      </c>
      <c r="I21" s="384">
        <f t="shared" ca="1" si="1"/>
        <v>0</v>
      </c>
    </row>
    <row r="22" spans="1:9" ht="16.5" customHeight="1">
      <c r="A22" s="290" t="str">
        <f ca="1">IF(ROWS($1:8)&gt;COUNT(Dong5),"",OFFSET(TH!D$1,SMALL(Dong5,ROWS($1:8)),))</f>
        <v/>
      </c>
      <c r="B22" s="290" t="str">
        <f ca="1">IF(ROWS($1:8)&gt;COUNT(Dong5),"",OFFSET(TH!E$1,SMALL(Dong5,ROWS($1:8)),))</f>
        <v/>
      </c>
      <c r="C22" s="290" t="str">
        <f ca="1">IF(ROWS($1:8)&gt;COUNT(Dong5),"",OFFSET(TH!F$1,SMALL(Dong5,ROWS($1:8)),))</f>
        <v/>
      </c>
      <c r="D22" s="301" t="str">
        <f ca="1">IF(ROWS($1:8)&gt;COUNT(Dong5),"",OFFSET(TH!G$1,SMALL(Dong5,ROWS($1:8)),))</f>
        <v/>
      </c>
      <c r="E22" s="290" t="str">
        <f ca="1">IF(ROWS($1:8)&gt;COUNT(Dong5),"",IF(OFFSET(TH!K$1,SMALL(Dong5,ROWS($1:8)),)=$E$7,OFFSET(TH!L$1,SMALL(Dong5,ROWS($1:8)),),OFFSET(TH!K$1,SMALL(Dong5,ROWS($1:8)),)))</f>
        <v/>
      </c>
      <c r="F22" s="383">
        <f ca="1">IF(ROWS($1:8)&gt;COUNT(Dong5),0,IF(OFFSET(TH!K$1,SMALL(Dong5,ROWS($1:8)),)=$E$7,OFFSET(TH!J$1,SMALL(Dong5,ROWS($1:8)),),0))</f>
        <v>0</v>
      </c>
      <c r="G22" s="382">
        <f ca="1">IF(ROWS($1:8)&gt;COUNT(Dong5),0,IF(OFFSET(TH!L$1,SMALL(Dong5,ROWS($1:8)),)=$E$7,OFFSET(TH!J$1,SMALL(Dong5,ROWS($1:8)),),0))</f>
        <v>0</v>
      </c>
      <c r="H22" s="384">
        <f t="shared" ca="1" si="0"/>
        <v>0</v>
      </c>
      <c r="I22" s="384">
        <f t="shared" ca="1" si="1"/>
        <v>0</v>
      </c>
    </row>
    <row r="23" spans="1:9" ht="16.5" customHeight="1">
      <c r="A23" s="290" t="str">
        <f ca="1">IF(ROWS($1:9)&gt;COUNT(Dong5),"",OFFSET(TH!D$1,SMALL(Dong5,ROWS($1:9)),))</f>
        <v/>
      </c>
      <c r="B23" s="290" t="str">
        <f ca="1">IF(ROWS($1:9)&gt;COUNT(Dong5),"",OFFSET(TH!E$1,SMALL(Dong5,ROWS($1:9)),))</f>
        <v/>
      </c>
      <c r="C23" s="290" t="str">
        <f ca="1">IF(ROWS($1:9)&gt;COUNT(Dong5),"",OFFSET(TH!F$1,SMALL(Dong5,ROWS($1:9)),))</f>
        <v/>
      </c>
      <c r="D23" s="301" t="str">
        <f ca="1">IF(ROWS($1:9)&gt;COUNT(Dong5),"",OFFSET(TH!G$1,SMALL(Dong5,ROWS($1:9)),))</f>
        <v/>
      </c>
      <c r="E23" s="290" t="str">
        <f ca="1">IF(ROWS($1:9)&gt;COUNT(Dong5),"",IF(OFFSET(TH!K$1,SMALL(Dong5,ROWS($1:9)),)=$E$7,OFFSET(TH!L$1,SMALL(Dong5,ROWS($1:9)),),OFFSET(TH!K$1,SMALL(Dong5,ROWS($1:9)),)))</f>
        <v/>
      </c>
      <c r="F23" s="383">
        <f ca="1">IF(ROWS($1:9)&gt;COUNT(Dong5),0,IF(OFFSET(TH!K$1,SMALL(Dong5,ROWS($1:9)),)=$E$7,OFFSET(TH!J$1,SMALL(Dong5,ROWS($1:9)),),0))</f>
        <v>0</v>
      </c>
      <c r="G23" s="382">
        <f ca="1">IF(ROWS($1:9)&gt;COUNT(Dong5),0,IF(OFFSET(TH!L$1,SMALL(Dong5,ROWS($1:9)),)=$E$7,OFFSET(TH!J$1,SMALL(Dong5,ROWS($1:9)),),0))</f>
        <v>0</v>
      </c>
      <c r="H23" s="384">
        <f t="shared" ca="1" si="0"/>
        <v>0</v>
      </c>
      <c r="I23" s="384">
        <f t="shared" ca="1" si="1"/>
        <v>0</v>
      </c>
    </row>
    <row r="24" spans="1:9" ht="16.5" customHeight="1">
      <c r="A24" s="290" t="str">
        <f ca="1">IF(ROWS($1:10)&gt;COUNT(Dong5),"",OFFSET(TH!D$1,SMALL(Dong5,ROWS($1:10)),))</f>
        <v/>
      </c>
      <c r="B24" s="290" t="str">
        <f ca="1">IF(ROWS($1:10)&gt;COUNT(Dong5),"",OFFSET(TH!E$1,SMALL(Dong5,ROWS($1:10)),))</f>
        <v/>
      </c>
      <c r="C24" s="290" t="str">
        <f ca="1">IF(ROWS($1:10)&gt;COUNT(Dong5),"",OFFSET(TH!F$1,SMALL(Dong5,ROWS($1:10)),))</f>
        <v/>
      </c>
      <c r="D24" s="301" t="str">
        <f ca="1">IF(ROWS($1:10)&gt;COUNT(Dong5),"",OFFSET(TH!G$1,SMALL(Dong5,ROWS($1:10)),))</f>
        <v/>
      </c>
      <c r="E24" s="290" t="str">
        <f ca="1">IF(ROWS($1:10)&gt;COUNT(Dong5),"",IF(OFFSET(TH!K$1,SMALL(Dong5,ROWS($1:10)),)=$E$7,OFFSET(TH!L$1,SMALL(Dong5,ROWS($1:10)),),OFFSET(TH!K$1,SMALL(Dong5,ROWS($1:10)),)))</f>
        <v/>
      </c>
      <c r="F24" s="383">
        <f ca="1">IF(ROWS($1:10)&gt;COUNT(Dong5),0,IF(OFFSET(TH!K$1,SMALL(Dong5,ROWS($1:10)),)=$E$7,OFFSET(TH!J$1,SMALL(Dong5,ROWS($1:10)),),0))</f>
        <v>0</v>
      </c>
      <c r="G24" s="382">
        <f ca="1">IF(ROWS($1:10)&gt;COUNT(Dong5),0,IF(OFFSET(TH!L$1,SMALL(Dong5,ROWS($1:10)),)=$E$7,OFFSET(TH!J$1,SMALL(Dong5,ROWS($1:10)),),0))</f>
        <v>0</v>
      </c>
      <c r="H24" s="384">
        <f t="shared" ca="1" si="0"/>
        <v>0</v>
      </c>
      <c r="I24" s="384">
        <f t="shared" ca="1" si="1"/>
        <v>0</v>
      </c>
    </row>
    <row r="25" spans="1:9" ht="16.5" customHeight="1">
      <c r="A25" s="290" t="str">
        <f ca="1">IF(ROWS($1:11)&gt;COUNT(Dong5),"",OFFSET(TH!D$1,SMALL(Dong5,ROWS($1:11)),))</f>
        <v/>
      </c>
      <c r="B25" s="290" t="str">
        <f ca="1">IF(ROWS($1:11)&gt;COUNT(Dong5),"",OFFSET(TH!E$1,SMALL(Dong5,ROWS($1:11)),))</f>
        <v/>
      </c>
      <c r="C25" s="290" t="str">
        <f ca="1">IF(ROWS($1:11)&gt;COUNT(Dong5),"",OFFSET(TH!F$1,SMALL(Dong5,ROWS($1:11)),))</f>
        <v/>
      </c>
      <c r="D25" s="301" t="str">
        <f ca="1">IF(ROWS($1:11)&gt;COUNT(Dong5),"",OFFSET(TH!G$1,SMALL(Dong5,ROWS($1:11)),))</f>
        <v/>
      </c>
      <c r="E25" s="290" t="str">
        <f ca="1">IF(ROWS($1:11)&gt;COUNT(Dong5),"",IF(OFFSET(TH!K$1,SMALL(Dong5,ROWS($1:11)),)=$E$7,OFFSET(TH!L$1,SMALL(Dong5,ROWS($1:11)),),OFFSET(TH!K$1,SMALL(Dong5,ROWS($1:11)),)))</f>
        <v/>
      </c>
      <c r="F25" s="383">
        <f ca="1">IF(ROWS($1:11)&gt;COUNT(Dong5),0,IF(OFFSET(TH!K$1,SMALL(Dong5,ROWS($1:11)),)=$E$7,OFFSET(TH!J$1,SMALL(Dong5,ROWS($1:11)),),0))</f>
        <v>0</v>
      </c>
      <c r="G25" s="382">
        <f ca="1">IF(ROWS($1:11)&gt;COUNT(Dong5),0,IF(OFFSET(TH!L$1,SMALL(Dong5,ROWS($1:11)),)=$E$7,OFFSET(TH!J$1,SMALL(Dong5,ROWS($1:11)),),0))</f>
        <v>0</v>
      </c>
      <c r="H25" s="384">
        <f t="shared" ca="1" si="0"/>
        <v>0</v>
      </c>
      <c r="I25" s="384">
        <f t="shared" ca="1" si="1"/>
        <v>0</v>
      </c>
    </row>
    <row r="26" spans="1:9" ht="16.5" customHeight="1">
      <c r="A26" s="290" t="str">
        <f ca="1">IF(ROWS($1:12)&gt;COUNT(Dong5),"",OFFSET(TH!D$1,SMALL(Dong5,ROWS($1:12)),))</f>
        <v/>
      </c>
      <c r="B26" s="290" t="str">
        <f ca="1">IF(ROWS($1:12)&gt;COUNT(Dong5),"",OFFSET(TH!E$1,SMALL(Dong5,ROWS($1:12)),))</f>
        <v/>
      </c>
      <c r="C26" s="290" t="str">
        <f ca="1">IF(ROWS($1:12)&gt;COUNT(Dong5),"",OFFSET(TH!F$1,SMALL(Dong5,ROWS($1:12)),))</f>
        <v/>
      </c>
      <c r="D26" s="301" t="str">
        <f ca="1">IF(ROWS($1:12)&gt;COUNT(Dong5),"",OFFSET(TH!G$1,SMALL(Dong5,ROWS($1:12)),))</f>
        <v/>
      </c>
      <c r="E26" s="290" t="str">
        <f ca="1">IF(ROWS($1:12)&gt;COUNT(Dong5),"",IF(OFFSET(TH!K$1,SMALL(Dong5,ROWS($1:12)),)=$E$7,OFFSET(TH!L$1,SMALL(Dong5,ROWS($1:12)),),OFFSET(TH!K$1,SMALL(Dong5,ROWS($1:12)),)))</f>
        <v/>
      </c>
      <c r="F26" s="383">
        <f ca="1">IF(ROWS($1:12)&gt;COUNT(Dong5),0,IF(OFFSET(TH!K$1,SMALL(Dong5,ROWS($1:12)),)=$E$7,OFFSET(TH!J$1,SMALL(Dong5,ROWS($1:12)),),0))</f>
        <v>0</v>
      </c>
      <c r="G26" s="382">
        <f ca="1">IF(ROWS($1:12)&gt;COUNT(Dong5),0,IF(OFFSET(TH!L$1,SMALL(Dong5,ROWS($1:12)),)=$E$7,OFFSET(TH!J$1,SMALL(Dong5,ROWS($1:12)),),0))</f>
        <v>0</v>
      </c>
      <c r="H26" s="384">
        <f t="shared" ca="1" si="0"/>
        <v>0</v>
      </c>
      <c r="I26" s="384">
        <f t="shared" ca="1" si="1"/>
        <v>0</v>
      </c>
    </row>
    <row r="27" spans="1:9" ht="16.5" customHeight="1">
      <c r="A27" s="290" t="str">
        <f ca="1">IF(ROWS($1:13)&gt;COUNT(Dong5),"",OFFSET(TH!D$1,SMALL(Dong5,ROWS($1:13)),))</f>
        <v/>
      </c>
      <c r="B27" s="290" t="str">
        <f ca="1">IF(ROWS($1:13)&gt;COUNT(Dong5),"",OFFSET(TH!E$1,SMALL(Dong5,ROWS($1:13)),))</f>
        <v/>
      </c>
      <c r="C27" s="290" t="str">
        <f ca="1">IF(ROWS($1:13)&gt;COUNT(Dong5),"",OFFSET(TH!F$1,SMALL(Dong5,ROWS($1:13)),))</f>
        <v/>
      </c>
      <c r="D27" s="301" t="str">
        <f ca="1">IF(ROWS($1:13)&gt;COUNT(Dong5),"",OFFSET(TH!G$1,SMALL(Dong5,ROWS($1:13)),))</f>
        <v/>
      </c>
      <c r="E27" s="290" t="str">
        <f ca="1">IF(ROWS($1:13)&gt;COUNT(Dong5),"",IF(OFFSET(TH!K$1,SMALL(Dong5,ROWS($1:13)),)=$E$7,OFFSET(TH!L$1,SMALL(Dong5,ROWS($1:13)),),OFFSET(TH!K$1,SMALL(Dong5,ROWS($1:13)),)))</f>
        <v/>
      </c>
      <c r="F27" s="383">
        <f ca="1">IF(ROWS($1:13)&gt;COUNT(Dong5),0,IF(OFFSET(TH!K$1,SMALL(Dong5,ROWS($1:13)),)=$E$7,OFFSET(TH!J$1,SMALL(Dong5,ROWS($1:13)),),0))</f>
        <v>0</v>
      </c>
      <c r="G27" s="382">
        <f ca="1">IF(ROWS($1:13)&gt;COUNT(Dong5),0,IF(OFFSET(TH!L$1,SMALL(Dong5,ROWS($1:13)),)=$E$7,OFFSET(TH!J$1,SMALL(Dong5,ROWS($1:13)),),0))</f>
        <v>0</v>
      </c>
      <c r="H27" s="384">
        <f t="shared" ca="1" si="0"/>
        <v>0</v>
      </c>
      <c r="I27" s="384">
        <f t="shared" ca="1" si="1"/>
        <v>0</v>
      </c>
    </row>
    <row r="28" spans="1:9" ht="16.5" customHeight="1">
      <c r="A28" s="290" t="str">
        <f ca="1">IF(ROWS($1:14)&gt;COUNT(Dong5),"",OFFSET(TH!D$1,SMALL(Dong5,ROWS($1:14)),))</f>
        <v/>
      </c>
      <c r="B28" s="290" t="str">
        <f ca="1">IF(ROWS($1:14)&gt;COUNT(Dong5),"",OFFSET(TH!E$1,SMALL(Dong5,ROWS($1:14)),))</f>
        <v/>
      </c>
      <c r="C28" s="290" t="str">
        <f ca="1">IF(ROWS($1:14)&gt;COUNT(Dong5),"",OFFSET(TH!F$1,SMALL(Dong5,ROWS($1:14)),))</f>
        <v/>
      </c>
      <c r="D28" s="301" t="str">
        <f ca="1">IF(ROWS($1:14)&gt;COUNT(Dong5),"",OFFSET(TH!G$1,SMALL(Dong5,ROWS($1:14)),))</f>
        <v/>
      </c>
      <c r="E28" s="290" t="str">
        <f ca="1">IF(ROWS($1:14)&gt;COUNT(Dong5),"",IF(OFFSET(TH!K$1,SMALL(Dong5,ROWS($1:14)),)=$E$7,OFFSET(TH!L$1,SMALL(Dong5,ROWS($1:14)),),OFFSET(TH!K$1,SMALL(Dong5,ROWS($1:14)),)))</f>
        <v/>
      </c>
      <c r="F28" s="383">
        <f ca="1">IF(ROWS($1:14)&gt;COUNT(Dong5),0,IF(OFFSET(TH!K$1,SMALL(Dong5,ROWS($1:14)),)=$E$7,OFFSET(TH!J$1,SMALL(Dong5,ROWS($1:14)),),0))</f>
        <v>0</v>
      </c>
      <c r="G28" s="382">
        <f ca="1">IF(ROWS($1:14)&gt;COUNT(Dong5),0,IF(OFFSET(TH!L$1,SMALL(Dong5,ROWS($1:14)),)=$E$7,OFFSET(TH!J$1,SMALL(Dong5,ROWS($1:14)),),0))</f>
        <v>0</v>
      </c>
      <c r="H28" s="384">
        <f t="shared" ca="1" si="0"/>
        <v>0</v>
      </c>
      <c r="I28" s="384">
        <f t="shared" ca="1" si="1"/>
        <v>0</v>
      </c>
    </row>
    <row r="29" spans="1:9" ht="16.5" customHeight="1">
      <c r="A29" s="290" t="str">
        <f ca="1">IF(ROWS($1:15)&gt;COUNT(Dong5),"",OFFSET(TH!D$1,SMALL(Dong5,ROWS($1:15)),))</f>
        <v/>
      </c>
      <c r="B29" s="290" t="str">
        <f ca="1">IF(ROWS($1:15)&gt;COUNT(Dong5),"",OFFSET(TH!E$1,SMALL(Dong5,ROWS($1:15)),))</f>
        <v/>
      </c>
      <c r="C29" s="290" t="str">
        <f ca="1">IF(ROWS($1:15)&gt;COUNT(Dong5),"",OFFSET(TH!F$1,SMALL(Dong5,ROWS($1:15)),))</f>
        <v/>
      </c>
      <c r="D29" s="301" t="str">
        <f ca="1">IF(ROWS($1:15)&gt;COUNT(Dong5),"",OFFSET(TH!G$1,SMALL(Dong5,ROWS($1:15)),))</f>
        <v/>
      </c>
      <c r="E29" s="290" t="str">
        <f ca="1">IF(ROWS($1:15)&gt;COUNT(Dong5),"",IF(OFFSET(TH!K$1,SMALL(Dong5,ROWS($1:15)),)=$E$7,OFFSET(TH!L$1,SMALL(Dong5,ROWS($1:15)),),OFFSET(TH!K$1,SMALL(Dong5,ROWS($1:15)),)))</f>
        <v/>
      </c>
      <c r="F29" s="383">
        <f ca="1">IF(ROWS($1:15)&gt;COUNT(Dong5),0,IF(OFFSET(TH!K$1,SMALL(Dong5,ROWS($1:15)),)=$E$7,OFFSET(TH!J$1,SMALL(Dong5,ROWS($1:15)),),0))</f>
        <v>0</v>
      </c>
      <c r="G29" s="382">
        <f ca="1">IF(ROWS($1:15)&gt;COUNT(Dong5),0,IF(OFFSET(TH!L$1,SMALL(Dong5,ROWS($1:15)),)=$E$7,OFFSET(TH!J$1,SMALL(Dong5,ROWS($1:15)),),0))</f>
        <v>0</v>
      </c>
      <c r="H29" s="384">
        <f t="shared" ca="1" si="0"/>
        <v>0</v>
      </c>
      <c r="I29" s="384">
        <f t="shared" ca="1" si="1"/>
        <v>0</v>
      </c>
    </row>
    <row r="30" spans="1:9" ht="16.5" customHeight="1">
      <c r="A30" s="290" t="str">
        <f ca="1">IF(ROWS($1:16)&gt;COUNT(Dong5),"",OFFSET(TH!D$1,SMALL(Dong5,ROWS($1:16)),))</f>
        <v/>
      </c>
      <c r="B30" s="290" t="str">
        <f ca="1">IF(ROWS($1:16)&gt;COUNT(Dong5),"",OFFSET(TH!E$1,SMALL(Dong5,ROWS($1:16)),))</f>
        <v/>
      </c>
      <c r="C30" s="290" t="str">
        <f ca="1">IF(ROWS($1:16)&gt;COUNT(Dong5),"",OFFSET(TH!F$1,SMALL(Dong5,ROWS($1:16)),))</f>
        <v/>
      </c>
      <c r="D30" s="301" t="str">
        <f ca="1">IF(ROWS($1:16)&gt;COUNT(Dong5),"",OFFSET(TH!G$1,SMALL(Dong5,ROWS($1:16)),))</f>
        <v/>
      </c>
      <c r="E30" s="290" t="str">
        <f ca="1">IF(ROWS($1:16)&gt;COUNT(Dong5),"",IF(OFFSET(TH!K$1,SMALL(Dong5,ROWS($1:16)),)=$E$7,OFFSET(TH!L$1,SMALL(Dong5,ROWS($1:16)),),OFFSET(TH!K$1,SMALL(Dong5,ROWS($1:16)),)))</f>
        <v/>
      </c>
      <c r="F30" s="383">
        <f ca="1">IF(ROWS($1:16)&gt;COUNT(Dong5),0,IF(OFFSET(TH!K$1,SMALL(Dong5,ROWS($1:16)),)=$E$7,OFFSET(TH!J$1,SMALL(Dong5,ROWS($1:16)),),0))</f>
        <v>0</v>
      </c>
      <c r="G30" s="382">
        <f ca="1">IF(ROWS($1:16)&gt;COUNT(Dong5),0,IF(OFFSET(TH!L$1,SMALL(Dong5,ROWS($1:16)),)=$E$7,OFFSET(TH!J$1,SMALL(Dong5,ROWS($1:16)),),0))</f>
        <v>0</v>
      </c>
      <c r="H30" s="384">
        <f t="shared" ca="1" si="0"/>
        <v>0</v>
      </c>
      <c r="I30" s="384">
        <f t="shared" ca="1" si="1"/>
        <v>0</v>
      </c>
    </row>
    <row r="31" spans="1:9" ht="16.5" customHeight="1">
      <c r="A31" s="290" t="str">
        <f ca="1">IF(ROWS($1:17)&gt;COUNT(Dong5),"",OFFSET(TH!D$1,SMALL(Dong5,ROWS($1:17)),))</f>
        <v/>
      </c>
      <c r="B31" s="290" t="str">
        <f ca="1">IF(ROWS($1:17)&gt;COUNT(Dong5),"",OFFSET(TH!E$1,SMALL(Dong5,ROWS($1:17)),))</f>
        <v/>
      </c>
      <c r="C31" s="290" t="str">
        <f ca="1">IF(ROWS($1:17)&gt;COUNT(Dong5),"",OFFSET(TH!F$1,SMALL(Dong5,ROWS($1:17)),))</f>
        <v/>
      </c>
      <c r="D31" s="301" t="str">
        <f ca="1">IF(ROWS($1:17)&gt;COUNT(Dong5),"",OFFSET(TH!G$1,SMALL(Dong5,ROWS($1:17)),))</f>
        <v/>
      </c>
      <c r="E31" s="290" t="str">
        <f ca="1">IF(ROWS($1:17)&gt;COUNT(Dong5),"",IF(OFFSET(TH!K$1,SMALL(Dong5,ROWS($1:17)),)=$E$7,OFFSET(TH!L$1,SMALL(Dong5,ROWS($1:17)),),OFFSET(TH!K$1,SMALL(Dong5,ROWS($1:17)),)))</f>
        <v/>
      </c>
      <c r="F31" s="383">
        <f ca="1">IF(ROWS($1:17)&gt;COUNT(Dong5),0,IF(OFFSET(TH!K$1,SMALL(Dong5,ROWS($1:17)),)=$E$7,OFFSET(TH!J$1,SMALL(Dong5,ROWS($1:17)),),0))</f>
        <v>0</v>
      </c>
      <c r="G31" s="382">
        <f ca="1">IF(ROWS($1:17)&gt;COUNT(Dong5),0,IF(OFFSET(TH!L$1,SMALL(Dong5,ROWS($1:17)),)=$E$7,OFFSET(TH!J$1,SMALL(Dong5,ROWS($1:17)),),0))</f>
        <v>0</v>
      </c>
      <c r="H31" s="384">
        <f t="shared" ca="1" si="0"/>
        <v>0</v>
      </c>
      <c r="I31" s="384">
        <f t="shared" ca="1" si="1"/>
        <v>0</v>
      </c>
    </row>
    <row r="32" spans="1:9" ht="16.5" customHeight="1">
      <c r="A32" s="290" t="str">
        <f ca="1">IF(ROWS($1:18)&gt;COUNT(Dong5),"",OFFSET(TH!D$1,SMALL(Dong5,ROWS($1:18)),))</f>
        <v/>
      </c>
      <c r="B32" s="290" t="str">
        <f ca="1">IF(ROWS($1:18)&gt;COUNT(Dong5),"",OFFSET(TH!E$1,SMALL(Dong5,ROWS($1:18)),))</f>
        <v/>
      </c>
      <c r="C32" s="290" t="str">
        <f ca="1">IF(ROWS($1:18)&gt;COUNT(Dong5),"",OFFSET(TH!F$1,SMALL(Dong5,ROWS($1:18)),))</f>
        <v/>
      </c>
      <c r="D32" s="301" t="str">
        <f ca="1">IF(ROWS($1:18)&gt;COUNT(Dong5),"",OFFSET(TH!G$1,SMALL(Dong5,ROWS($1:18)),))</f>
        <v/>
      </c>
      <c r="E32" s="290" t="str">
        <f ca="1">IF(ROWS($1:18)&gt;COUNT(Dong5),"",IF(OFFSET(TH!K$1,SMALL(Dong5,ROWS($1:18)),)=$E$7,OFFSET(TH!L$1,SMALL(Dong5,ROWS($1:18)),),OFFSET(TH!K$1,SMALL(Dong5,ROWS($1:18)),)))</f>
        <v/>
      </c>
      <c r="F32" s="383">
        <f ca="1">IF(ROWS($1:18)&gt;COUNT(Dong5),0,IF(OFFSET(TH!K$1,SMALL(Dong5,ROWS($1:18)),)=$E$7,OFFSET(TH!J$1,SMALL(Dong5,ROWS($1:18)),),0))</f>
        <v>0</v>
      </c>
      <c r="G32" s="382">
        <f ca="1">IF(ROWS($1:18)&gt;COUNT(Dong5),0,IF(OFFSET(TH!L$1,SMALL(Dong5,ROWS($1:18)),)=$E$7,OFFSET(TH!J$1,SMALL(Dong5,ROWS($1:18)),),0))</f>
        <v>0</v>
      </c>
      <c r="H32" s="384">
        <f t="shared" ca="1" si="0"/>
        <v>0</v>
      </c>
      <c r="I32" s="384">
        <f t="shared" ca="1" si="1"/>
        <v>0</v>
      </c>
    </row>
    <row r="33" spans="1:9" ht="16.5" customHeight="1">
      <c r="A33" s="290"/>
      <c r="B33" s="302"/>
      <c r="C33" s="290"/>
      <c r="D33" s="385"/>
      <c r="E33" s="302"/>
      <c r="F33" s="382"/>
      <c r="G33" s="382"/>
      <c r="H33" s="384"/>
      <c r="I33" s="384"/>
    </row>
    <row r="34" spans="1:9" ht="20.25" customHeight="1">
      <c r="A34" s="290"/>
      <c r="B34" s="302"/>
      <c r="C34" s="290"/>
      <c r="D34" s="386" t="s">
        <v>243</v>
      </c>
      <c r="E34" s="302" t="s">
        <v>25</v>
      </c>
      <c r="F34" s="387">
        <f ca="1">SUM(F15:F33)</f>
        <v>99608749</v>
      </c>
      <c r="G34" s="387">
        <f ca="1">SUM(G15:G33)</f>
        <v>99608749</v>
      </c>
      <c r="H34" s="387" t="s">
        <v>25</v>
      </c>
      <c r="I34" s="387" t="s">
        <v>25</v>
      </c>
    </row>
    <row r="35" spans="1:9" ht="20.25" customHeight="1">
      <c r="A35" s="388"/>
      <c r="B35" s="389"/>
      <c r="C35" s="388"/>
      <c r="D35" s="390" t="s">
        <v>12</v>
      </c>
      <c r="E35" s="389" t="s">
        <v>25</v>
      </c>
      <c r="F35" s="391" t="s">
        <v>25</v>
      </c>
      <c r="G35" s="391" t="s">
        <v>25</v>
      </c>
      <c r="H35" s="392">
        <f ca="1">MAX(H14+F34-G34-I14,0)</f>
        <v>0</v>
      </c>
      <c r="I35" s="392">
        <f ca="1">MAX(I14+G34-F34-H14,0)</f>
        <v>0</v>
      </c>
    </row>
    <row r="36" spans="1:9" ht="9.75" customHeight="1"/>
    <row r="37" spans="1:9">
      <c r="C37" s="298" t="s">
        <v>302</v>
      </c>
    </row>
    <row r="38" spans="1:9">
      <c r="C38" s="298" t="s">
        <v>430</v>
      </c>
    </row>
    <row r="39" spans="1:9" ht="13.5" customHeight="1">
      <c r="E39" s="570" t="s">
        <v>429</v>
      </c>
      <c r="F39" s="570"/>
      <c r="G39" s="570"/>
      <c r="H39" s="570"/>
      <c r="I39" s="570"/>
    </row>
    <row r="40" spans="1:9">
      <c r="A40" s="570" t="s">
        <v>13</v>
      </c>
      <c r="B40" s="570"/>
      <c r="C40" s="570"/>
      <c r="D40" s="570"/>
      <c r="E40" s="570" t="s">
        <v>14</v>
      </c>
      <c r="F40" s="570"/>
      <c r="G40" s="570"/>
      <c r="H40" s="570"/>
      <c r="I40" s="570"/>
    </row>
    <row r="41" spans="1:9">
      <c r="A41" s="570" t="s">
        <v>15</v>
      </c>
      <c r="B41" s="570"/>
      <c r="C41" s="570"/>
      <c r="D41" s="570"/>
      <c r="E41" s="570" t="s">
        <v>15</v>
      </c>
      <c r="F41" s="570"/>
      <c r="G41" s="570"/>
      <c r="H41" s="570"/>
      <c r="I41" s="570"/>
    </row>
    <row r="43" spans="1:9">
      <c r="D43" s="393"/>
      <c r="F43" s="394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CTTK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2015-10-24T02:42:42Z</cp:lastPrinted>
  <dcterms:created xsi:type="dcterms:W3CDTF">1996-10-14T23:33:28Z</dcterms:created>
  <dcterms:modified xsi:type="dcterms:W3CDTF">2015-11-05T04:00:26Z</dcterms:modified>
</cp:coreProperties>
</file>