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5" yWindow="105" windowWidth="15330" windowHeight="4305" tabRatio="716" activeTab="5"/>
  </bookViews>
  <sheets>
    <sheet name="NXT" sheetId="70" r:id="rId1"/>
    <sheet name="IN-NX" sheetId="87" r:id="rId2"/>
    <sheet name="TH" sheetId="88" r:id="rId3"/>
    <sheet name="SO CT" sheetId="75" r:id="rId4"/>
    <sheet name="THE KHO" sheetId="84" r:id="rId5"/>
    <sheet name="BANG KE NL" sheetId="89" r:id="rId6"/>
    <sheet name="BTGT" sheetId="90" r:id="rId7"/>
    <sheet name="THEGT" sheetId="91" r:id="rId8"/>
  </sheets>
  <externalReferences>
    <externalReference r:id="rId9"/>
    <externalReference r:id="rId10"/>
    <externalReference r:id="rId11"/>
    <externalReference r:id="rId12"/>
  </externalReferences>
  <definedNames>
    <definedName name="_DNL1">IF(Loai='SO CT'!$J$8,ROW(Loai)-1,"")</definedName>
    <definedName name="_Fill" hidden="1">#REF!</definedName>
    <definedName name="_xlnm._FilterDatabase" localSheetId="5" hidden="1">'BANG KE NL'!$A$13:$CH$70</definedName>
    <definedName name="_xlnm._FilterDatabase" localSheetId="0" hidden="1">NXT!$B$11:$O$11</definedName>
    <definedName name="_xlnm._FilterDatabase" localSheetId="2" hidden="1">TH!$A$4:$O$1447</definedName>
    <definedName name="_xlnm._FilterDatabase" localSheetId="4" hidden="1">'THE KHO'!$A$1:$J$1</definedName>
    <definedName name="_NXT1">NXT!$M$12:$M$410</definedName>
    <definedName name="Dong">IF(Loai01="x",ROW(Loai01)-1,"")</definedName>
    <definedName name="Dong3">IF(Loai='THE KHO'!$E$7,ROW(Loai)-1,"")</definedName>
    <definedName name="DS">TH!$B$5:$O$1447</definedName>
    <definedName name="DSGT1">BTGT!$B$7:$B$10</definedName>
    <definedName name="DSGT10">BTGT!$B$248:$B$254</definedName>
    <definedName name="DSGT11">BTGT!$B$274:$B$280</definedName>
    <definedName name="DSGT12">BTGT!$B$299:$B$305</definedName>
    <definedName name="DSGT2">BTGT!$B$34:$B$39</definedName>
    <definedName name="DSGT3">BTGT!$B$67:$B$74</definedName>
    <definedName name="DSGT4">BTGT!$B$101:$B$103</definedName>
    <definedName name="DSGT5">BTGT!$B$123:$B$125</definedName>
    <definedName name="DSGT6">BTGT!$B$143:$B$147</definedName>
    <definedName name="DSGT7">BTGT!$B$171:$B$174</definedName>
    <definedName name="DSGT8">BTGT!$B$194:$B$198</definedName>
    <definedName name="DSGT9">BTGT!$B$221:$B$226</definedName>
    <definedName name="DSKH1">'[1]331'!$B$4:$B$35</definedName>
    <definedName name="DSKH2">'[1]331'!$B$35:$B$76</definedName>
    <definedName name="DSNL">NXT!$N$12:$R$557</definedName>
    <definedName name="DSNX1">TH!$F$5:$F$1581</definedName>
    <definedName name="DSNX2">TH!$K$5:$K$1581</definedName>
    <definedName name="DSNX3">TH!$M$5:$M$1581</definedName>
    <definedName name="DSNX4">TH!$N$5:$N$1581</definedName>
    <definedName name="DSNX5">TH!$L$5:$L$1581</definedName>
    <definedName name="DSNX6">TH!$H$5:$H$1581</definedName>
    <definedName name="DSNX7">TH!$I$5:$I$1581</definedName>
    <definedName name="DSNX8">TH!$G$5:$G$1581</definedName>
    <definedName name="DSNXT1">NXT!$C$72:$C$89</definedName>
    <definedName name="DSSP1">BTGT!$B$7:$P$10</definedName>
    <definedName name="DSSP10">BTGT!$B$248:$P$254</definedName>
    <definedName name="DSSP11">BTGT!$B$274:$P$280</definedName>
    <definedName name="DSSP12">BTGT!$B$299:$P$305</definedName>
    <definedName name="DSSP2">BTGT!$B$34:$P$39</definedName>
    <definedName name="DSSP3">BTGT!$B$67:$P$74</definedName>
    <definedName name="DSSP4">BTGT!$B$101:$P$103</definedName>
    <definedName name="DSSP5">BTGT!$B$123:$P$125</definedName>
    <definedName name="DSSP6">BTGT!$B$143:$P$146</definedName>
    <definedName name="DSSP7">BTGT!$B$171:$P$174</definedName>
    <definedName name="DSSP8">BTGT!$B$194:$P$198</definedName>
    <definedName name="DSSP9">BTGT!$B$221:$P$226</definedName>
    <definedName name="Loai">OFFSET(TH!$F$5,,,COUNTA(TH!$F$5:$F$41117))</definedName>
    <definedName name="Loai01">OFFSET(TH!$O$5,,,COUNTA(TH!$O$5:$O$31117))</definedName>
    <definedName name="Loai1">OFFSET(TH!$B$5,,,COUNTA(TH!$B$5:$B$31117))</definedName>
    <definedName name="Loai2">OFFSET(INDIRECT(ADDRESS(MATCH(RIGHT(TH!$C1,2),NXT,0)+11,3,,,"NXT")),0,0,COUNTIF(NXT,RIGHT(TH!$C1,2)),1)</definedName>
    <definedName name="Loai3">OFFSET(INDIRECT(ADDRESS(MATCH(RIGHT(TH!$C1,2),_NXT1,0)+11,14,,,"NXT")),0,0,COUNTIF(_NXT1,RIGHT(TH!$C1,2)),1)</definedName>
    <definedName name="NXT">NXT!$A$12:$A$412</definedName>
    <definedName name="_xlnm.Print_Area" localSheetId="5">'BANG KE NL'!$A$1:$K$78</definedName>
    <definedName name="_xlnm.Print_Area" localSheetId="1">'IN-NX'!$A$1:$I$35</definedName>
    <definedName name="_xlnm.Print_Area" localSheetId="3">'SO CT'!$B$2:$M$78</definedName>
    <definedName name="_xlnm.Print_Area" localSheetId="4">'THE KHO'!$A$1:$J$131</definedName>
    <definedName name="_xlnm.Print_Titles" localSheetId="5">'BANG KE NL'!$11:$13</definedName>
    <definedName name="TH">IF(Loai1="x",ROW(Loai1)-1,"")</definedName>
  </definedNames>
  <calcPr calcId="144525"/>
</workbook>
</file>

<file path=xl/calcChain.xml><?xml version="1.0" encoding="utf-8"?>
<calcChain xmlns="http://schemas.openxmlformats.org/spreadsheetml/2006/main">
  <c r="A66" i="89" l="1"/>
  <c r="B66" i="89"/>
  <c r="E66" i="89" s="1"/>
  <c r="D66" i="89"/>
  <c r="F66" i="89"/>
  <c r="G66" i="89"/>
  <c r="H66" i="89"/>
  <c r="I66" i="89"/>
  <c r="J66" i="89"/>
  <c r="C66" i="89" l="1"/>
  <c r="A4" i="89"/>
  <c r="J68" i="89"/>
  <c r="N279" i="90" l="1"/>
  <c r="N248" i="90"/>
  <c r="N250" i="90"/>
  <c r="N443" i="88" l="1"/>
  <c r="L443" i="88"/>
  <c r="A443" i="88"/>
  <c r="O443" i="88" s="1"/>
  <c r="K446" i="88"/>
  <c r="A433" i="88"/>
  <c r="O433" i="88" s="1"/>
  <c r="A434" i="88"/>
  <c r="O434" i="88" s="1"/>
  <c r="A435" i="88"/>
  <c r="O435" i="88" s="1"/>
  <c r="A436" i="88"/>
  <c r="O436" i="88" s="1"/>
  <c r="A437" i="88"/>
  <c r="O437" i="88" s="1"/>
  <c r="A438" i="88"/>
  <c r="O438" i="88" s="1"/>
  <c r="A439" i="88"/>
  <c r="O439" i="88" s="1"/>
  <c r="A440" i="88"/>
  <c r="O440" i="88" s="1"/>
  <c r="A441" i="88"/>
  <c r="O441" i="88" s="1"/>
  <c r="A442" i="88"/>
  <c r="O442" i="88" s="1"/>
  <c r="A444" i="88"/>
  <c r="O444" i="88" s="1"/>
  <c r="A445" i="88"/>
  <c r="O445" i="88" s="1"/>
  <c r="A446" i="88"/>
  <c r="O446" i="88" s="1"/>
  <c r="A447" i="88"/>
  <c r="O447" i="88" s="1"/>
  <c r="A448" i="88"/>
  <c r="O448" i="88" s="1"/>
  <c r="A449" i="88"/>
  <c r="O449" i="88" s="1"/>
  <c r="A450" i="88"/>
  <c r="O450" i="88" s="1"/>
  <c r="A451" i="88"/>
  <c r="O451" i="88" s="1"/>
  <c r="N446" i="88"/>
  <c r="L446" i="88"/>
  <c r="N445" i="88"/>
  <c r="L445" i="88"/>
  <c r="N444" i="88"/>
  <c r="L444" i="88"/>
  <c r="N442" i="88"/>
  <c r="L442" i="88"/>
  <c r="N441" i="88"/>
  <c r="L441" i="88"/>
  <c r="N440" i="88"/>
  <c r="L440" i="88"/>
  <c r="A452" i="88"/>
  <c r="O452" i="88" s="1"/>
  <c r="A453" i="88"/>
  <c r="O453" i="88" s="1"/>
  <c r="N439" i="88"/>
  <c r="K439" i="88"/>
  <c r="L439" i="88" s="1"/>
  <c r="N438" i="88"/>
  <c r="L438" i="88"/>
  <c r="N437" i="88"/>
  <c r="L437" i="88"/>
  <c r="N436" i="88"/>
  <c r="L436" i="88"/>
  <c r="N435" i="88"/>
  <c r="L435" i="88"/>
  <c r="N434" i="88"/>
  <c r="L434" i="88"/>
  <c r="N433" i="88"/>
  <c r="L433" i="88"/>
  <c r="N432" i="88"/>
  <c r="L432" i="88"/>
  <c r="A432" i="88"/>
  <c r="O432" i="88" s="1"/>
  <c r="N431" i="88"/>
  <c r="L431" i="88"/>
  <c r="A431" i="88"/>
  <c r="O431" i="88" s="1"/>
  <c r="N430" i="88"/>
  <c r="L430" i="88"/>
  <c r="A430" i="88"/>
  <c r="O430" i="88" s="1"/>
  <c r="N429" i="88"/>
  <c r="L429" i="88"/>
  <c r="A429" i="88"/>
  <c r="O429" i="88" s="1"/>
  <c r="N428" i="88"/>
  <c r="L428" i="88"/>
  <c r="A428" i="88"/>
  <c r="O428" i="88" s="1"/>
  <c r="N427" i="88"/>
  <c r="L427" i="88"/>
  <c r="A427" i="88"/>
  <c r="O427" i="88" s="1"/>
  <c r="N426" i="88"/>
  <c r="L426" i="88"/>
  <c r="A426" i="88"/>
  <c r="O426" i="88" s="1"/>
  <c r="N425" i="88"/>
  <c r="L425" i="88"/>
  <c r="A425" i="88"/>
  <c r="O425" i="88" s="1"/>
  <c r="N424" i="88"/>
  <c r="L424" i="88"/>
  <c r="A424" i="88"/>
  <c r="O424" i="88" s="1"/>
  <c r="N423" i="88"/>
  <c r="L423" i="88"/>
  <c r="A423" i="88"/>
  <c r="O423" i="88" s="1"/>
  <c r="N422" i="88"/>
  <c r="L422" i="88"/>
  <c r="A422" i="88"/>
  <c r="O422" i="88" s="1"/>
  <c r="K394" i="88" l="1"/>
  <c r="F279" i="90" l="1"/>
  <c r="K417" i="88" l="1"/>
  <c r="L417" i="88" s="1"/>
  <c r="N421" i="88"/>
  <c r="L421" i="88"/>
  <c r="A421" i="88"/>
  <c r="O421" i="88" s="1"/>
  <c r="N420" i="88"/>
  <c r="L420" i="88"/>
  <c r="A420" i="88"/>
  <c r="O420" i="88" s="1"/>
  <c r="N419" i="88"/>
  <c r="L419" i="88"/>
  <c r="A419" i="88"/>
  <c r="O419" i="88" s="1"/>
  <c r="N418" i="88"/>
  <c r="L418" i="88"/>
  <c r="A418" i="88"/>
  <c r="O418" i="88" s="1"/>
  <c r="N417" i="88"/>
  <c r="A417" i="88"/>
  <c r="O417" i="88" s="1"/>
  <c r="N416" i="88"/>
  <c r="L416" i="88"/>
  <c r="A416" i="88"/>
  <c r="O416" i="88" s="1"/>
  <c r="N415" i="88"/>
  <c r="L415" i="88"/>
  <c r="A415" i="88"/>
  <c r="O415" i="88" s="1"/>
  <c r="N414" i="88"/>
  <c r="L414" i="88"/>
  <c r="A414" i="88"/>
  <c r="O414" i="88" s="1"/>
  <c r="N413" i="88"/>
  <c r="L413" i="88"/>
  <c r="A413" i="88"/>
  <c r="O413" i="88" s="1"/>
  <c r="N412" i="88"/>
  <c r="L412" i="88"/>
  <c r="A412" i="88"/>
  <c r="O412" i="88" s="1"/>
  <c r="N411" i="88"/>
  <c r="L411" i="88"/>
  <c r="A411" i="88"/>
  <c r="O411" i="88" s="1"/>
  <c r="N410" i="88"/>
  <c r="L410" i="88"/>
  <c r="A410" i="88"/>
  <c r="O410" i="88" s="1"/>
  <c r="N409" i="88"/>
  <c r="L409" i="88"/>
  <c r="A409" i="88"/>
  <c r="O409" i="88" s="1"/>
  <c r="N408" i="88"/>
  <c r="L408" i="88"/>
  <c r="A408" i="88"/>
  <c r="O408" i="88" s="1"/>
  <c r="N407" i="88"/>
  <c r="L407" i="88"/>
  <c r="A407" i="88"/>
  <c r="O407" i="88" s="1"/>
  <c r="N406" i="88"/>
  <c r="L406" i="88"/>
  <c r="A406" i="88"/>
  <c r="O406" i="88" s="1"/>
  <c r="N405" i="88"/>
  <c r="L405" i="88"/>
  <c r="A405" i="88"/>
  <c r="O405" i="88" s="1"/>
  <c r="N404" i="88"/>
  <c r="L404" i="88"/>
  <c r="A404" i="88"/>
  <c r="O404" i="88" s="1"/>
  <c r="N403" i="88"/>
  <c r="L403" i="88"/>
  <c r="A403" i="88"/>
  <c r="O403" i="88" s="1"/>
  <c r="N402" i="88"/>
  <c r="L402" i="88"/>
  <c r="A402" i="88"/>
  <c r="O402" i="88" s="1"/>
  <c r="N401" i="88"/>
  <c r="L401" i="88"/>
  <c r="A401" i="88"/>
  <c r="O401" i="88" s="1"/>
  <c r="N400" i="88"/>
  <c r="L400" i="88"/>
  <c r="A400" i="88"/>
  <c r="O400" i="88" s="1"/>
  <c r="K398" i="88"/>
  <c r="L398" i="88" s="1"/>
  <c r="N399" i="88"/>
  <c r="L399" i="88"/>
  <c r="A399" i="88"/>
  <c r="O399" i="88" s="1"/>
  <c r="N398" i="88"/>
  <c r="A398" i="88"/>
  <c r="O398" i="88" s="1"/>
  <c r="N397" i="88"/>
  <c r="L397" i="88"/>
  <c r="A397" i="88"/>
  <c r="O397" i="88" s="1"/>
  <c r="N390" i="88"/>
  <c r="L390" i="88"/>
  <c r="A390" i="88"/>
  <c r="O390" i="88" s="1"/>
  <c r="N396" i="88"/>
  <c r="L396" i="88"/>
  <c r="A396" i="88"/>
  <c r="O396" i="88" s="1"/>
  <c r="N395" i="88"/>
  <c r="L395" i="88"/>
  <c r="A395" i="88"/>
  <c r="O395" i="88" s="1"/>
  <c r="N394" i="88"/>
  <c r="L394" i="88"/>
  <c r="A394" i="88"/>
  <c r="O394" i="88" s="1"/>
  <c r="N393" i="88"/>
  <c r="L393" i="88"/>
  <c r="A393" i="88"/>
  <c r="O393" i="88" s="1"/>
  <c r="N392" i="88"/>
  <c r="L392" i="88"/>
  <c r="A392" i="88"/>
  <c r="O392" i="88" s="1"/>
  <c r="N391" i="88"/>
  <c r="L391" i="88"/>
  <c r="A391" i="88"/>
  <c r="O391" i="88" s="1"/>
  <c r="N389" i="88"/>
  <c r="L389" i="88"/>
  <c r="A389" i="88"/>
  <c r="O389" i="88" s="1"/>
  <c r="N388" i="88"/>
  <c r="L388" i="88"/>
  <c r="A388" i="88"/>
  <c r="O388" i="88" s="1"/>
  <c r="N386" i="88"/>
  <c r="L386" i="88"/>
  <c r="A386" i="88"/>
  <c r="O386" i="88" s="1"/>
  <c r="K385" i="88"/>
  <c r="L385" i="88" s="1"/>
  <c r="N384" i="88"/>
  <c r="L384" i="88"/>
  <c r="A384" i="88"/>
  <c r="O384" i="88" s="1"/>
  <c r="N383" i="88"/>
  <c r="L383" i="88"/>
  <c r="A383" i="88"/>
  <c r="O383" i="88" s="1"/>
  <c r="N381" i="88"/>
  <c r="L381" i="88"/>
  <c r="A381" i="88"/>
  <c r="O381" i="88" s="1"/>
  <c r="N387" i="88"/>
  <c r="L387" i="88"/>
  <c r="A387" i="88"/>
  <c r="O387" i="88" s="1"/>
  <c r="N385" i="88"/>
  <c r="A385" i="88"/>
  <c r="O385" i="88" s="1"/>
  <c r="N382" i="88"/>
  <c r="L382" i="88"/>
  <c r="A382" i="88"/>
  <c r="O382" i="88" s="1"/>
  <c r="N380" i="88"/>
  <c r="L380" i="88"/>
  <c r="A380" i="88"/>
  <c r="O380" i="88" s="1"/>
  <c r="K376" i="88"/>
  <c r="L376" i="88" s="1"/>
  <c r="N376" i="88"/>
  <c r="A376" i="88"/>
  <c r="O376" i="88" s="1"/>
  <c r="N375" i="88"/>
  <c r="L375" i="88"/>
  <c r="A375" i="88"/>
  <c r="O375" i="88" s="1"/>
  <c r="N374" i="88"/>
  <c r="L374" i="88"/>
  <c r="A374" i="88"/>
  <c r="O374" i="88" s="1"/>
  <c r="N373" i="88"/>
  <c r="L373" i="88"/>
  <c r="A373" i="88"/>
  <c r="O373" i="88" s="1"/>
  <c r="N372" i="88"/>
  <c r="L372" i="88"/>
  <c r="A372" i="88"/>
  <c r="O372" i="88" s="1"/>
  <c r="N371" i="88"/>
  <c r="L371" i="88"/>
  <c r="A371" i="88"/>
  <c r="O371" i="88" s="1"/>
  <c r="N370" i="88"/>
  <c r="L370" i="88"/>
  <c r="A370" i="88"/>
  <c r="O370" i="88" s="1"/>
  <c r="N369" i="88"/>
  <c r="L369" i="88"/>
  <c r="A369" i="88"/>
  <c r="O369" i="88" s="1"/>
  <c r="N368" i="88"/>
  <c r="L368" i="88"/>
  <c r="A368" i="88"/>
  <c r="O368" i="88" s="1"/>
  <c r="N378" i="88"/>
  <c r="L378" i="88"/>
  <c r="A378" i="88"/>
  <c r="O378" i="88" s="1"/>
  <c r="N377" i="88"/>
  <c r="L377" i="88"/>
  <c r="A377" i="88"/>
  <c r="O377" i="88" s="1"/>
  <c r="N379" i="88"/>
  <c r="L379" i="88"/>
  <c r="A379" i="88"/>
  <c r="O379" i="88" s="1"/>
  <c r="N367" i="88"/>
  <c r="L367" i="88"/>
  <c r="A367" i="88"/>
  <c r="O367" i="88" s="1"/>
  <c r="N366" i="88"/>
  <c r="L366" i="88"/>
  <c r="A366" i="88"/>
  <c r="O366" i="88" s="1"/>
  <c r="N365" i="88"/>
  <c r="L365" i="88"/>
  <c r="A365" i="88"/>
  <c r="O365" i="88" s="1"/>
  <c r="N364" i="88"/>
  <c r="L364" i="88"/>
  <c r="A364" i="88"/>
  <c r="O364" i="88" s="1"/>
  <c r="N363" i="88"/>
  <c r="L363" i="88"/>
  <c r="A363" i="88"/>
  <c r="O363" i="88" s="1"/>
  <c r="N362" i="88"/>
  <c r="L362" i="88"/>
  <c r="A362" i="88"/>
  <c r="O362" i="88" s="1"/>
  <c r="K360" i="88"/>
  <c r="L360" i="88" s="1"/>
  <c r="N361" i="88"/>
  <c r="L361" i="88"/>
  <c r="A361" i="88"/>
  <c r="O361" i="88" s="1"/>
  <c r="N360" i="88"/>
  <c r="A360" i="88"/>
  <c r="O360" i="88" s="1"/>
  <c r="N359" i="88"/>
  <c r="L359" i="88"/>
  <c r="A359" i="88"/>
  <c r="O359" i="88" s="1"/>
  <c r="K356" i="88"/>
  <c r="L356" i="88" s="1"/>
  <c r="N358" i="88"/>
  <c r="L358" i="88"/>
  <c r="A358" i="88"/>
  <c r="O358" i="88" s="1"/>
  <c r="N357" i="88"/>
  <c r="L357" i="88"/>
  <c r="A357" i="88"/>
  <c r="O357" i="88" s="1"/>
  <c r="N356" i="88"/>
  <c r="A356" i="88"/>
  <c r="O356" i="88" s="1"/>
  <c r="N355" i="88"/>
  <c r="L355" i="88"/>
  <c r="A355" i="88"/>
  <c r="O355" i="88" s="1"/>
  <c r="N354" i="88"/>
  <c r="L354" i="88"/>
  <c r="A354" i="88"/>
  <c r="O354" i="88" s="1"/>
  <c r="N353" i="88"/>
  <c r="L353" i="88"/>
  <c r="A353" i="88"/>
  <c r="O353" i="88" s="1"/>
  <c r="N352" i="88"/>
  <c r="L352" i="88"/>
  <c r="A352" i="88"/>
  <c r="O352" i="88" s="1"/>
  <c r="N351" i="88"/>
  <c r="L351" i="88"/>
  <c r="A351" i="88"/>
  <c r="O351" i="88" s="1"/>
  <c r="N350" i="88"/>
  <c r="L350" i="88"/>
  <c r="A350" i="88"/>
  <c r="O350" i="88" s="1"/>
  <c r="N349" i="88"/>
  <c r="L349" i="88"/>
  <c r="A349" i="88"/>
  <c r="O349" i="88" s="1"/>
  <c r="N348" i="88"/>
  <c r="L348" i="88"/>
  <c r="A348" i="88"/>
  <c r="O348" i="88" s="1"/>
  <c r="K346" i="88"/>
  <c r="L346" i="88" s="1"/>
  <c r="N347" i="88"/>
  <c r="L347" i="88"/>
  <c r="A347" i="88"/>
  <c r="O347" i="88" s="1"/>
  <c r="N346" i="88"/>
  <c r="A346" i="88"/>
  <c r="O346" i="88" s="1"/>
  <c r="N345" i="88"/>
  <c r="L345" i="88"/>
  <c r="A345" i="88"/>
  <c r="O345" i="88" s="1"/>
  <c r="N344" i="88"/>
  <c r="L344" i="88"/>
  <c r="A344" i="88"/>
  <c r="O344" i="88" s="1"/>
  <c r="K342" i="88" l="1"/>
  <c r="L342" i="88" s="1"/>
  <c r="N343" i="88"/>
  <c r="L343" i="88"/>
  <c r="A343" i="88"/>
  <c r="O343" i="88" s="1"/>
  <c r="N342" i="88"/>
  <c r="A342" i="88"/>
  <c r="O342" i="88" s="1"/>
  <c r="N341" i="88"/>
  <c r="L341" i="88"/>
  <c r="A341" i="88"/>
  <c r="O341" i="88" s="1"/>
  <c r="N340" i="88"/>
  <c r="L340" i="88"/>
  <c r="A340" i="88"/>
  <c r="O340" i="88" s="1"/>
  <c r="N337" i="88"/>
  <c r="N336" i="88"/>
  <c r="K335" i="88"/>
  <c r="L335" i="88" s="1"/>
  <c r="N339" i="88"/>
  <c r="L339" i="88"/>
  <c r="A339" i="88"/>
  <c r="O339" i="88" s="1"/>
  <c r="N338" i="88"/>
  <c r="L338" i="88"/>
  <c r="A338" i="88"/>
  <c r="O338" i="88" s="1"/>
  <c r="L337" i="88"/>
  <c r="A337" i="88"/>
  <c r="O337" i="88" s="1"/>
  <c r="L336" i="88"/>
  <c r="A336" i="88"/>
  <c r="O336" i="88" s="1"/>
  <c r="N335" i="88"/>
  <c r="A335" i="88"/>
  <c r="O335" i="88" s="1"/>
  <c r="N334" i="88"/>
  <c r="L334" i="88"/>
  <c r="A334" i="88"/>
  <c r="O334" i="88" s="1"/>
  <c r="N333" i="88"/>
  <c r="L333" i="88"/>
  <c r="A333" i="88"/>
  <c r="O333" i="88" s="1"/>
  <c r="N332" i="88"/>
  <c r="L332" i="88"/>
  <c r="A332" i="88"/>
  <c r="O332" i="88" s="1"/>
  <c r="N331" i="88"/>
  <c r="L331" i="88"/>
  <c r="A331" i="88"/>
  <c r="O331" i="88" s="1"/>
  <c r="N330" i="88"/>
  <c r="L330" i="88"/>
  <c r="A330" i="88"/>
  <c r="O330" i="88" s="1"/>
  <c r="N329" i="88"/>
  <c r="L329" i="88"/>
  <c r="A329" i="88"/>
  <c r="O329" i="88" s="1"/>
  <c r="N328" i="88"/>
  <c r="L328" i="88"/>
  <c r="A328" i="88"/>
  <c r="O328" i="88" s="1"/>
  <c r="N327" i="88"/>
  <c r="L327" i="88"/>
  <c r="A327" i="88"/>
  <c r="O327" i="88" s="1"/>
  <c r="N326" i="88"/>
  <c r="L326" i="88"/>
  <c r="A326" i="88"/>
  <c r="O326" i="88" s="1"/>
  <c r="N325" i="88"/>
  <c r="L325" i="88"/>
  <c r="A325" i="88"/>
  <c r="O325" i="88" s="1"/>
  <c r="N324" i="88"/>
  <c r="L324" i="88"/>
  <c r="A324" i="88"/>
  <c r="O324" i="88" s="1"/>
  <c r="N323" i="88"/>
  <c r="L323" i="88"/>
  <c r="A323" i="88"/>
  <c r="O323" i="88" s="1"/>
  <c r="N322" i="88"/>
  <c r="L322" i="88"/>
  <c r="A322" i="88"/>
  <c r="O322" i="88" s="1"/>
  <c r="N321" i="88"/>
  <c r="L321" i="88"/>
  <c r="A321" i="88"/>
  <c r="O321" i="88" s="1"/>
  <c r="N320" i="88"/>
  <c r="L320" i="88"/>
  <c r="A320" i="88"/>
  <c r="O320" i="88" s="1"/>
  <c r="N319" i="88"/>
  <c r="L319" i="88"/>
  <c r="A319" i="88"/>
  <c r="O319" i="88" s="1"/>
  <c r="N318" i="88"/>
  <c r="L318" i="88"/>
  <c r="A318" i="88"/>
  <c r="O318" i="88" s="1"/>
  <c r="U312" i="90" l="1"/>
  <c r="U311" i="90"/>
  <c r="N554" i="88"/>
  <c r="L554" i="88"/>
  <c r="A554" i="88"/>
  <c r="O554" i="88" s="1"/>
  <c r="N561" i="88"/>
  <c r="L561" i="88"/>
  <c r="A561" i="88"/>
  <c r="O561" i="88" s="1"/>
  <c r="N553" i="88"/>
  <c r="L553" i="88"/>
  <c r="A553" i="88"/>
  <c r="O553" i="88" s="1"/>
  <c r="N552" i="88"/>
  <c r="L552" i="88"/>
  <c r="A552" i="88"/>
  <c r="O552" i="88" s="1"/>
  <c r="N551" i="88"/>
  <c r="L551" i="88"/>
  <c r="A551" i="88"/>
  <c r="O551" i="88" s="1"/>
  <c r="N560" i="88"/>
  <c r="L560" i="88"/>
  <c r="A560" i="88"/>
  <c r="O560" i="88" s="1"/>
  <c r="N559" i="88"/>
  <c r="L559" i="88"/>
  <c r="A559" i="88"/>
  <c r="O559" i="88" s="1"/>
  <c r="N558" i="88"/>
  <c r="L558" i="88"/>
  <c r="A558" i="88"/>
  <c r="O558" i="88" s="1"/>
  <c r="A782" i="88" l="1"/>
  <c r="O782" i="88" s="1"/>
  <c r="L782" i="88"/>
  <c r="N782" i="88"/>
  <c r="A781" i="88"/>
  <c r="O781" i="88" s="1"/>
  <c r="L781" i="88"/>
  <c r="N781" i="88"/>
  <c r="A780" i="88"/>
  <c r="O780" i="88" s="1"/>
  <c r="L780" i="88"/>
  <c r="N780" i="88"/>
  <c r="A779" i="88"/>
  <c r="O779" i="88" s="1"/>
  <c r="L779" i="88"/>
  <c r="N779" i="88"/>
  <c r="V308" i="90"/>
  <c r="E58" i="70" l="1"/>
  <c r="F58" i="70"/>
  <c r="N534" i="88" l="1"/>
  <c r="L534" i="88"/>
  <c r="A534" i="88"/>
  <c r="O534" i="88" s="1"/>
  <c r="J75" i="70"/>
  <c r="J76" i="70"/>
  <c r="I72" i="70"/>
  <c r="I73" i="70"/>
  <c r="I74" i="70"/>
  <c r="I75" i="70"/>
  <c r="I76" i="70"/>
  <c r="I77" i="70"/>
  <c r="I78" i="70"/>
  <c r="I79" i="70"/>
  <c r="I80" i="70"/>
  <c r="I81" i="70"/>
  <c r="I82" i="70"/>
  <c r="I83" i="70"/>
  <c r="I84" i="70"/>
  <c r="I85" i="70"/>
  <c r="I86" i="70"/>
  <c r="I87" i="70"/>
  <c r="I88" i="70"/>
  <c r="H74" i="70"/>
  <c r="H75" i="70"/>
  <c r="H76" i="70"/>
  <c r="G72" i="70"/>
  <c r="G73" i="70"/>
  <c r="G74" i="70"/>
  <c r="G75" i="70"/>
  <c r="G76" i="70"/>
  <c r="G77" i="70"/>
  <c r="G78" i="70"/>
  <c r="G79" i="70"/>
  <c r="G80" i="70"/>
  <c r="G81" i="70"/>
  <c r="G82" i="70"/>
  <c r="G83" i="70"/>
  <c r="G84" i="70"/>
  <c r="G85" i="70"/>
  <c r="G86" i="70"/>
  <c r="G87" i="70"/>
  <c r="G88" i="70"/>
  <c r="M59" i="70"/>
  <c r="G12" i="70"/>
  <c r="N543" i="88"/>
  <c r="L543" i="88"/>
  <c r="A543" i="88"/>
  <c r="O543" i="88" s="1"/>
  <c r="N544" i="88"/>
  <c r="L544" i="88"/>
  <c r="A544" i="88"/>
  <c r="O544" i="88" s="1"/>
  <c r="D279" i="90"/>
  <c r="C300" i="90" l="1"/>
  <c r="C301" i="90"/>
  <c r="C302" i="90"/>
  <c r="C303" i="90"/>
  <c r="C304" i="90"/>
  <c r="C299" i="90"/>
  <c r="C275" i="90"/>
  <c r="C276" i="90"/>
  <c r="C277" i="90"/>
  <c r="C278" i="90"/>
  <c r="C274" i="90"/>
  <c r="M73" i="70" l="1"/>
  <c r="M74" i="70"/>
  <c r="M75" i="70"/>
  <c r="M76" i="70"/>
  <c r="M77" i="70"/>
  <c r="M78" i="70"/>
  <c r="M79" i="70"/>
  <c r="M80" i="70"/>
  <c r="M81" i="70"/>
  <c r="M82" i="70"/>
  <c r="M83" i="70"/>
  <c r="M84" i="70"/>
  <c r="M85" i="70"/>
  <c r="M86" i="70"/>
  <c r="M87" i="70"/>
  <c r="M88" i="70"/>
  <c r="M89" i="70"/>
  <c r="M90" i="70"/>
  <c r="M91" i="70"/>
  <c r="N550" i="88"/>
  <c r="L550" i="88"/>
  <c r="A550" i="88"/>
  <c r="O550" i="88" s="1"/>
  <c r="N549" i="88"/>
  <c r="L549" i="88"/>
  <c r="H78" i="70" s="1"/>
  <c r="A549" i="88"/>
  <c r="O549" i="88" s="1"/>
  <c r="N548" i="88"/>
  <c r="L548" i="88"/>
  <c r="A548" i="88"/>
  <c r="O548" i="88" s="1"/>
  <c r="M72" i="70"/>
  <c r="M61" i="70"/>
  <c r="M62" i="70"/>
  <c r="M63" i="70"/>
  <c r="M64" i="70"/>
  <c r="M65" i="70"/>
  <c r="M66" i="70"/>
  <c r="M67" i="70"/>
  <c r="M68" i="70"/>
  <c r="M69" i="70"/>
  <c r="M70" i="70"/>
  <c r="M71" i="70"/>
  <c r="M60" i="70"/>
  <c r="M13" i="70"/>
  <c r="M14" i="70"/>
  <c r="M15" i="70"/>
  <c r="M16" i="70"/>
  <c r="M17" i="70"/>
  <c r="M18" i="70"/>
  <c r="M19" i="70"/>
  <c r="M20" i="70"/>
  <c r="M21" i="70"/>
  <c r="M22" i="70"/>
  <c r="M23" i="70"/>
  <c r="M24" i="70"/>
  <c r="M25" i="70"/>
  <c r="M26" i="70"/>
  <c r="M27" i="70"/>
  <c r="M28" i="70"/>
  <c r="M29" i="70"/>
  <c r="M30" i="70"/>
  <c r="M31" i="70"/>
  <c r="M32" i="70"/>
  <c r="M33" i="70"/>
  <c r="M34" i="70"/>
  <c r="M35" i="70"/>
  <c r="M36" i="70"/>
  <c r="M37" i="70"/>
  <c r="M38" i="70"/>
  <c r="M39" i="70"/>
  <c r="M40" i="70"/>
  <c r="M41" i="70"/>
  <c r="M42" i="70"/>
  <c r="M43" i="70"/>
  <c r="M44" i="70"/>
  <c r="M45" i="70"/>
  <c r="M46" i="70"/>
  <c r="M47" i="70"/>
  <c r="M48" i="70"/>
  <c r="M49" i="70"/>
  <c r="M50" i="70"/>
  <c r="M51" i="70"/>
  <c r="M52" i="70"/>
  <c r="M53" i="70"/>
  <c r="M54" i="70"/>
  <c r="M55" i="70"/>
  <c r="M56" i="70"/>
  <c r="M57" i="70"/>
  <c r="M58" i="70"/>
  <c r="M12" i="70"/>
  <c r="N557" i="88"/>
  <c r="L557" i="88"/>
  <c r="A557" i="88"/>
  <c r="O557" i="88" s="1"/>
  <c r="N556" i="88"/>
  <c r="J78" i="70" s="1"/>
  <c r="L556" i="88"/>
  <c r="A556" i="88"/>
  <c r="O556" i="88" s="1"/>
  <c r="N555" i="88"/>
  <c r="L555" i="88"/>
  <c r="A555" i="88"/>
  <c r="O555" i="88" s="1"/>
  <c r="N537" i="88"/>
  <c r="L537" i="88"/>
  <c r="A537" i="88"/>
  <c r="O537" i="88" s="1"/>
  <c r="N536" i="88"/>
  <c r="L536" i="88"/>
  <c r="A536" i="88"/>
  <c r="O536" i="88" s="1"/>
  <c r="B15" i="75"/>
  <c r="C15" i="75"/>
  <c r="D15" i="75"/>
  <c r="A15" i="75" s="1"/>
  <c r="E15" i="75"/>
  <c r="F15" i="75"/>
  <c r="G15" i="75"/>
  <c r="I15" i="75"/>
  <c r="B16" i="75"/>
  <c r="C16" i="75"/>
  <c r="D16" i="75"/>
  <c r="A16" i="75" s="1"/>
  <c r="E16" i="75"/>
  <c r="F16" i="75"/>
  <c r="G16" i="75"/>
  <c r="I16" i="75"/>
  <c r="B17" i="75"/>
  <c r="C17" i="75"/>
  <c r="D17" i="75"/>
  <c r="A17" i="75" s="1"/>
  <c r="E17" i="75"/>
  <c r="F17" i="75"/>
  <c r="G17" i="75"/>
  <c r="I17" i="75"/>
  <c r="B18" i="75"/>
  <c r="C18" i="75"/>
  <c r="D18" i="75"/>
  <c r="A18" i="75" s="1"/>
  <c r="E18" i="75"/>
  <c r="F18" i="75"/>
  <c r="G18" i="75"/>
  <c r="I18" i="75"/>
  <c r="B19" i="75"/>
  <c r="C19" i="75"/>
  <c r="D19" i="75"/>
  <c r="A19" i="75" s="1"/>
  <c r="E19" i="75"/>
  <c r="F19" i="75"/>
  <c r="G19" i="75"/>
  <c r="I19" i="75"/>
  <c r="B20" i="75"/>
  <c r="C20" i="75"/>
  <c r="D20" i="75"/>
  <c r="A20" i="75" s="1"/>
  <c r="E20" i="75"/>
  <c r="F20" i="75"/>
  <c r="G20" i="75"/>
  <c r="I20" i="75"/>
  <c r="B21" i="75"/>
  <c r="C21" i="75"/>
  <c r="D21" i="75"/>
  <c r="A21" i="75" s="1"/>
  <c r="E21" i="75"/>
  <c r="F21" i="75"/>
  <c r="G21" i="75"/>
  <c r="I21" i="75"/>
  <c r="B22" i="75"/>
  <c r="C22" i="75"/>
  <c r="D22" i="75"/>
  <c r="A22" i="75" s="1"/>
  <c r="E22" i="75"/>
  <c r="F22" i="75"/>
  <c r="G22" i="75"/>
  <c r="I22" i="75"/>
  <c r="B23" i="75"/>
  <c r="C23" i="75"/>
  <c r="D23" i="75"/>
  <c r="A23" i="75" s="1"/>
  <c r="E23" i="75"/>
  <c r="F23" i="75"/>
  <c r="G23" i="75"/>
  <c r="I23" i="75"/>
  <c r="B24" i="75"/>
  <c r="C24" i="75"/>
  <c r="D24" i="75"/>
  <c r="A24" i="75" s="1"/>
  <c r="E24" i="75"/>
  <c r="F24" i="75"/>
  <c r="G24" i="75"/>
  <c r="I24" i="75"/>
  <c r="B25" i="75"/>
  <c r="C25" i="75"/>
  <c r="D25" i="75"/>
  <c r="A25" i="75" s="1"/>
  <c r="E25" i="75"/>
  <c r="F25" i="75"/>
  <c r="G25" i="75"/>
  <c r="I25" i="75"/>
  <c r="B26" i="75"/>
  <c r="C26" i="75"/>
  <c r="D26" i="75"/>
  <c r="A26" i="75" s="1"/>
  <c r="E26" i="75"/>
  <c r="F26" i="75"/>
  <c r="G26" i="75"/>
  <c r="I26" i="75"/>
  <c r="B27" i="75"/>
  <c r="C27" i="75"/>
  <c r="D27" i="75"/>
  <c r="A27" i="75" s="1"/>
  <c r="E27" i="75"/>
  <c r="F27" i="75"/>
  <c r="G27" i="75"/>
  <c r="I27" i="75"/>
  <c r="B28" i="75"/>
  <c r="C28" i="75"/>
  <c r="D28" i="75"/>
  <c r="A28" i="75" s="1"/>
  <c r="E28" i="75"/>
  <c r="F28" i="75"/>
  <c r="G28" i="75"/>
  <c r="I28" i="75"/>
  <c r="B29" i="75"/>
  <c r="C29" i="75"/>
  <c r="D29" i="75"/>
  <c r="A29" i="75" s="1"/>
  <c r="E29" i="75"/>
  <c r="F29" i="75"/>
  <c r="G29" i="75"/>
  <c r="I29" i="75"/>
  <c r="B30" i="75"/>
  <c r="C30" i="75"/>
  <c r="D30" i="75"/>
  <c r="A30" i="75" s="1"/>
  <c r="E30" i="75"/>
  <c r="F30" i="75"/>
  <c r="G30" i="75"/>
  <c r="I30" i="75"/>
  <c r="B31" i="75"/>
  <c r="C31" i="75"/>
  <c r="D31" i="75"/>
  <c r="A31" i="75" s="1"/>
  <c r="E31" i="75"/>
  <c r="F31" i="75"/>
  <c r="G31" i="75"/>
  <c r="I31" i="75"/>
  <c r="B32" i="75"/>
  <c r="C32" i="75"/>
  <c r="D32" i="75"/>
  <c r="A32" i="75" s="1"/>
  <c r="E32" i="75"/>
  <c r="F32" i="75"/>
  <c r="G32" i="75"/>
  <c r="I32" i="75"/>
  <c r="B33" i="75"/>
  <c r="C33" i="75"/>
  <c r="D33" i="75"/>
  <c r="A33" i="75" s="1"/>
  <c r="E33" i="75"/>
  <c r="F33" i="75"/>
  <c r="G33" i="75"/>
  <c r="I33" i="75"/>
  <c r="B34" i="75"/>
  <c r="C34" i="75"/>
  <c r="D34" i="75"/>
  <c r="A34" i="75" s="1"/>
  <c r="E34" i="75"/>
  <c r="F34" i="75"/>
  <c r="G34" i="75"/>
  <c r="I34" i="75"/>
  <c r="B35" i="75"/>
  <c r="C35" i="75"/>
  <c r="D35" i="75"/>
  <c r="A35" i="75" s="1"/>
  <c r="E35" i="75"/>
  <c r="F35" i="75"/>
  <c r="G35" i="75"/>
  <c r="I35" i="75"/>
  <c r="B36" i="75"/>
  <c r="C36" i="75"/>
  <c r="D36" i="75"/>
  <c r="A36" i="75" s="1"/>
  <c r="E36" i="75"/>
  <c r="F36" i="75"/>
  <c r="G36" i="75"/>
  <c r="I36" i="75"/>
  <c r="B37" i="75"/>
  <c r="C37" i="75"/>
  <c r="D37" i="75"/>
  <c r="A37" i="75" s="1"/>
  <c r="E37" i="75"/>
  <c r="F37" i="75"/>
  <c r="G37" i="75"/>
  <c r="I37" i="75"/>
  <c r="B38" i="75"/>
  <c r="C38" i="75"/>
  <c r="D38" i="75"/>
  <c r="A38" i="75" s="1"/>
  <c r="E38" i="75"/>
  <c r="F38" i="75"/>
  <c r="G38" i="75"/>
  <c r="I38" i="75"/>
  <c r="B39" i="75"/>
  <c r="C39" i="75"/>
  <c r="D39" i="75"/>
  <c r="A39" i="75" s="1"/>
  <c r="E39" i="75"/>
  <c r="F39" i="75"/>
  <c r="G39" i="75"/>
  <c r="I39" i="75"/>
  <c r="B40" i="75"/>
  <c r="C40" i="75"/>
  <c r="D40" i="75"/>
  <c r="A40" i="75" s="1"/>
  <c r="E40" i="75"/>
  <c r="F40" i="75"/>
  <c r="G40" i="75"/>
  <c r="I40" i="75"/>
  <c r="B41" i="75"/>
  <c r="C41" i="75"/>
  <c r="D41" i="75"/>
  <c r="A41" i="75" s="1"/>
  <c r="E41" i="75"/>
  <c r="F41" i="75"/>
  <c r="G41" i="75"/>
  <c r="I41" i="75"/>
  <c r="B42" i="75"/>
  <c r="C42" i="75"/>
  <c r="D42" i="75"/>
  <c r="A42" i="75" s="1"/>
  <c r="E42" i="75"/>
  <c r="F42" i="75"/>
  <c r="G42" i="75"/>
  <c r="I42" i="75"/>
  <c r="B43" i="75"/>
  <c r="C43" i="75"/>
  <c r="D43" i="75"/>
  <c r="A43" i="75" s="1"/>
  <c r="E43" i="75"/>
  <c r="F43" i="75"/>
  <c r="G43" i="75"/>
  <c r="I43" i="75"/>
  <c r="B44" i="75"/>
  <c r="C44" i="75"/>
  <c r="D44" i="75"/>
  <c r="A44" i="75" s="1"/>
  <c r="E44" i="75"/>
  <c r="F44" i="75"/>
  <c r="G44" i="75"/>
  <c r="I44" i="75"/>
  <c r="B45" i="75"/>
  <c r="C45" i="75"/>
  <c r="D45" i="75"/>
  <c r="A45" i="75" s="1"/>
  <c r="E45" i="75"/>
  <c r="F45" i="75"/>
  <c r="G45" i="75"/>
  <c r="I45" i="75"/>
  <c r="B46" i="75"/>
  <c r="C46" i="75"/>
  <c r="D46" i="75"/>
  <c r="A46" i="75" s="1"/>
  <c r="E46" i="75"/>
  <c r="F46" i="75"/>
  <c r="G46" i="75"/>
  <c r="I46" i="75"/>
  <c r="B47" i="75"/>
  <c r="C47" i="75"/>
  <c r="D47" i="75"/>
  <c r="A47" i="75" s="1"/>
  <c r="E47" i="75"/>
  <c r="F47" i="75"/>
  <c r="G47" i="75"/>
  <c r="I47" i="75"/>
  <c r="B48" i="75"/>
  <c r="C48" i="75"/>
  <c r="D48" i="75"/>
  <c r="A48" i="75" s="1"/>
  <c r="E48" i="75"/>
  <c r="F48" i="75"/>
  <c r="G48" i="75"/>
  <c r="I48" i="75"/>
  <c r="B49" i="75"/>
  <c r="C49" i="75"/>
  <c r="D49" i="75"/>
  <c r="A49" i="75" s="1"/>
  <c r="E49" i="75"/>
  <c r="F49" i="75"/>
  <c r="G49" i="75"/>
  <c r="I49" i="75"/>
  <c r="B50" i="75"/>
  <c r="C50" i="75"/>
  <c r="D50" i="75"/>
  <c r="A50" i="75" s="1"/>
  <c r="E50" i="75"/>
  <c r="F50" i="75"/>
  <c r="G50" i="75"/>
  <c r="I50" i="75"/>
  <c r="B51" i="75"/>
  <c r="C51" i="75"/>
  <c r="D51" i="75"/>
  <c r="A51" i="75" s="1"/>
  <c r="E51" i="75"/>
  <c r="F51" i="75"/>
  <c r="G51" i="75"/>
  <c r="I51" i="75"/>
  <c r="B52" i="75"/>
  <c r="C52" i="75"/>
  <c r="D52" i="75"/>
  <c r="A52" i="75" s="1"/>
  <c r="E52" i="75"/>
  <c r="F52" i="75"/>
  <c r="G52" i="75"/>
  <c r="I52" i="75"/>
  <c r="B53" i="75"/>
  <c r="C53" i="75"/>
  <c r="D53" i="75"/>
  <c r="A53" i="75" s="1"/>
  <c r="E53" i="75"/>
  <c r="F53" i="75"/>
  <c r="G53" i="75"/>
  <c r="I53" i="75"/>
  <c r="B54" i="75"/>
  <c r="C54" i="75"/>
  <c r="D54" i="75"/>
  <c r="A54" i="75" s="1"/>
  <c r="E54" i="75"/>
  <c r="F54" i="75"/>
  <c r="G54" i="75"/>
  <c r="I54" i="75"/>
  <c r="B55" i="75"/>
  <c r="C55" i="75"/>
  <c r="D55" i="75"/>
  <c r="A55" i="75" s="1"/>
  <c r="E55" i="75"/>
  <c r="F55" i="75"/>
  <c r="G55" i="75"/>
  <c r="I55" i="75"/>
  <c r="B56" i="75"/>
  <c r="C56" i="75"/>
  <c r="D56" i="75"/>
  <c r="A56" i="75" s="1"/>
  <c r="E56" i="75"/>
  <c r="F56" i="75"/>
  <c r="G56" i="75"/>
  <c r="I56" i="75"/>
  <c r="B57" i="75"/>
  <c r="C57" i="75"/>
  <c r="D57" i="75"/>
  <c r="A57" i="75" s="1"/>
  <c r="E57" i="75"/>
  <c r="F57" i="75"/>
  <c r="G57" i="75"/>
  <c r="I57" i="75"/>
  <c r="B58" i="75"/>
  <c r="C58" i="75"/>
  <c r="D58" i="75"/>
  <c r="A58" i="75" s="1"/>
  <c r="E58" i="75"/>
  <c r="F58" i="75"/>
  <c r="G58" i="75"/>
  <c r="I58" i="75"/>
  <c r="B59" i="75"/>
  <c r="C59" i="75"/>
  <c r="D59" i="75"/>
  <c r="A59" i="75" s="1"/>
  <c r="E59" i="75"/>
  <c r="F59" i="75"/>
  <c r="G59" i="75"/>
  <c r="I59" i="75"/>
  <c r="B60" i="75"/>
  <c r="C60" i="75"/>
  <c r="D60" i="75"/>
  <c r="A60" i="75" s="1"/>
  <c r="E60" i="75"/>
  <c r="F60" i="75"/>
  <c r="G60" i="75"/>
  <c r="I60" i="75"/>
  <c r="B61" i="75"/>
  <c r="C61" i="75"/>
  <c r="D61" i="75"/>
  <c r="A61" i="75" s="1"/>
  <c r="E61" i="75"/>
  <c r="F61" i="75"/>
  <c r="G61" i="75"/>
  <c r="I61" i="75"/>
  <c r="B62" i="75"/>
  <c r="C62" i="75"/>
  <c r="D62" i="75"/>
  <c r="A62" i="75" s="1"/>
  <c r="E62" i="75"/>
  <c r="F62" i="75"/>
  <c r="G62" i="75"/>
  <c r="I62" i="75"/>
  <c r="B63" i="75"/>
  <c r="C63" i="75"/>
  <c r="D63" i="75"/>
  <c r="A63" i="75" s="1"/>
  <c r="E63" i="75"/>
  <c r="F63" i="75"/>
  <c r="G63" i="75"/>
  <c r="I63" i="75"/>
  <c r="B64" i="75"/>
  <c r="C64" i="75"/>
  <c r="D64" i="75"/>
  <c r="A64" i="75" s="1"/>
  <c r="E64" i="75"/>
  <c r="F64" i="75"/>
  <c r="G64" i="75"/>
  <c r="I64" i="75"/>
  <c r="B65" i="75"/>
  <c r="C65" i="75"/>
  <c r="D65" i="75"/>
  <c r="A65" i="75" s="1"/>
  <c r="E65" i="75"/>
  <c r="F65" i="75"/>
  <c r="G65" i="75"/>
  <c r="I65" i="75"/>
  <c r="B66" i="75"/>
  <c r="C66" i="75"/>
  <c r="D66" i="75"/>
  <c r="A66" i="75" s="1"/>
  <c r="E66" i="75"/>
  <c r="F66" i="75"/>
  <c r="G66" i="75"/>
  <c r="I66" i="75"/>
  <c r="B67" i="75"/>
  <c r="C67" i="75"/>
  <c r="D67" i="75"/>
  <c r="A67" i="75" s="1"/>
  <c r="E67" i="75"/>
  <c r="F67" i="75"/>
  <c r="G67" i="75"/>
  <c r="I67" i="75"/>
  <c r="B68" i="75"/>
  <c r="C68" i="75"/>
  <c r="D68" i="75"/>
  <c r="A68" i="75" s="1"/>
  <c r="E68" i="75"/>
  <c r="F68" i="75"/>
  <c r="G68" i="75"/>
  <c r="I68" i="75"/>
  <c r="B69" i="75"/>
  <c r="C69" i="75"/>
  <c r="D69" i="75"/>
  <c r="A69" i="75" s="1"/>
  <c r="E69" i="75"/>
  <c r="F69" i="75"/>
  <c r="G69" i="75"/>
  <c r="I69" i="75"/>
  <c r="B70" i="75"/>
  <c r="C70" i="75"/>
  <c r="D70" i="75"/>
  <c r="A70" i="75" s="1"/>
  <c r="E70" i="75"/>
  <c r="F70" i="75"/>
  <c r="G70" i="75"/>
  <c r="I70" i="75"/>
  <c r="B71" i="75"/>
  <c r="C71" i="75"/>
  <c r="D71" i="75"/>
  <c r="A71" i="75" s="1"/>
  <c r="E71" i="75"/>
  <c r="F71" i="75"/>
  <c r="G71" i="75"/>
  <c r="I71" i="75"/>
  <c r="N542" i="88"/>
  <c r="L542" i="88"/>
  <c r="A542" i="88"/>
  <c r="O542" i="88" s="1"/>
  <c r="N539" i="88"/>
  <c r="L539" i="88"/>
  <c r="A539" i="88"/>
  <c r="O539" i="88" s="1"/>
  <c r="N538" i="88"/>
  <c r="L538" i="88"/>
  <c r="A538" i="88"/>
  <c r="O538" i="88" s="1"/>
  <c r="N540" i="88"/>
  <c r="L540" i="88"/>
  <c r="A540" i="88"/>
  <c r="O540" i="88" s="1"/>
  <c r="N541" i="88"/>
  <c r="L541" i="88"/>
  <c r="A541" i="88"/>
  <c r="O541" i="88" s="1"/>
  <c r="N547" i="88"/>
  <c r="L547" i="88"/>
  <c r="A547" i="88"/>
  <c r="O547" i="88" s="1"/>
  <c r="N546" i="88"/>
  <c r="L546" i="88"/>
  <c r="A546" i="88"/>
  <c r="O546" i="88" s="1"/>
  <c r="N545" i="88"/>
  <c r="L545" i="88"/>
  <c r="A545" i="88"/>
  <c r="O545" i="88" s="1"/>
  <c r="J62" i="75" l="1"/>
  <c r="J54" i="75"/>
  <c r="J46" i="75"/>
  <c r="J38" i="75"/>
  <c r="J34" i="75"/>
  <c r="J61" i="75"/>
  <c r="J49" i="75"/>
  <c r="J45" i="75"/>
  <c r="J41" i="75"/>
  <c r="J37" i="75"/>
  <c r="J33" i="75"/>
  <c r="J29" i="75"/>
  <c r="J25" i="75"/>
  <c r="J21" i="75"/>
  <c r="J17" i="75"/>
  <c r="J30" i="75"/>
  <c r="J26" i="75"/>
  <c r="J22" i="75"/>
  <c r="J18" i="75"/>
  <c r="J20" i="75"/>
  <c r="J63" i="75"/>
  <c r="J59" i="75"/>
  <c r="J55" i="75"/>
  <c r="J47" i="75"/>
  <c r="J43" i="75"/>
  <c r="J35" i="75"/>
  <c r="J31" i="75"/>
  <c r="J27" i="75"/>
  <c r="J23" i="75"/>
  <c r="J19" i="75"/>
  <c r="J60" i="75"/>
  <c r="J56" i="75"/>
  <c r="J52" i="75"/>
  <c r="J48" i="75"/>
  <c r="J44" i="75"/>
  <c r="J40" i="75"/>
  <c r="J36" i="75"/>
  <c r="J32" i="75"/>
  <c r="J24" i="75"/>
  <c r="J16" i="75"/>
  <c r="J69" i="75"/>
  <c r="J57" i="75"/>
  <c r="J50" i="75"/>
  <c r="J58" i="75"/>
  <c r="J42" i="75"/>
  <c r="J67" i="75"/>
  <c r="J64" i="75"/>
  <c r="J39" i="75"/>
  <c r="J51" i="75"/>
  <c r="H72" i="70"/>
  <c r="J65" i="75"/>
  <c r="J71" i="75"/>
  <c r="J66" i="75"/>
  <c r="J28" i="75"/>
  <c r="L78" i="70"/>
  <c r="J70" i="75"/>
  <c r="J68" i="75"/>
  <c r="K78" i="70"/>
  <c r="H15" i="75"/>
  <c r="L53" i="75"/>
  <c r="L52" i="75"/>
  <c r="L51" i="75"/>
  <c r="L50" i="75"/>
  <c r="L49" i="75"/>
  <c r="L48" i="75"/>
  <c r="L47" i="75"/>
  <c r="L46" i="75"/>
  <c r="L45" i="75"/>
  <c r="L44" i="75"/>
  <c r="L43" i="75"/>
  <c r="L42" i="75"/>
  <c r="L41" i="75"/>
  <c r="L40" i="75"/>
  <c r="L39" i="75"/>
  <c r="L38" i="75"/>
  <c r="L37" i="75"/>
  <c r="L36" i="75"/>
  <c r="L35" i="75"/>
  <c r="L34" i="75"/>
  <c r="L33" i="75"/>
  <c r="L71" i="75"/>
  <c r="L70" i="75"/>
  <c r="L69" i="75"/>
  <c r="L68" i="75"/>
  <c r="L67" i="75"/>
  <c r="L66" i="75"/>
  <c r="L65" i="75"/>
  <c r="L64" i="75"/>
  <c r="L63" i="75"/>
  <c r="L62" i="75"/>
  <c r="L61" i="75"/>
  <c r="L60" i="75"/>
  <c r="L59" i="75"/>
  <c r="L58" i="75"/>
  <c r="L57" i="75"/>
  <c r="L56" i="75"/>
  <c r="L55" i="75"/>
  <c r="L54" i="75"/>
  <c r="J53" i="75"/>
  <c r="K71" i="75"/>
  <c r="H71" i="75"/>
  <c r="K70" i="75"/>
  <c r="H70" i="75"/>
  <c r="K69" i="75"/>
  <c r="H69" i="75"/>
  <c r="K68" i="75"/>
  <c r="H68" i="75"/>
  <c r="K67" i="75"/>
  <c r="H67" i="75"/>
  <c r="K66" i="75"/>
  <c r="H66" i="75"/>
  <c r="K65" i="75"/>
  <c r="H65" i="75"/>
  <c r="K64" i="75"/>
  <c r="H64" i="75"/>
  <c r="K63" i="75"/>
  <c r="H63" i="75"/>
  <c r="K62" i="75"/>
  <c r="H62" i="75"/>
  <c r="K61" i="75"/>
  <c r="H61" i="75"/>
  <c r="K60" i="75"/>
  <c r="H60" i="75"/>
  <c r="K59" i="75"/>
  <c r="H59" i="75"/>
  <c r="K58" i="75"/>
  <c r="H58" i="75"/>
  <c r="K57" i="75"/>
  <c r="H57" i="75"/>
  <c r="K56" i="75"/>
  <c r="H56" i="75"/>
  <c r="K55" i="75"/>
  <c r="H55" i="75"/>
  <c r="K54" i="75"/>
  <c r="H54" i="75"/>
  <c r="K53" i="75"/>
  <c r="H53" i="75"/>
  <c r="K52" i="75"/>
  <c r="H52" i="75"/>
  <c r="K51" i="75"/>
  <c r="H51" i="75"/>
  <c r="K50" i="75"/>
  <c r="H50" i="75"/>
  <c r="K49" i="75"/>
  <c r="H49" i="75"/>
  <c r="K48" i="75"/>
  <c r="H48" i="75"/>
  <c r="K47" i="75"/>
  <c r="H47" i="75"/>
  <c r="K46" i="75"/>
  <c r="H46" i="75"/>
  <c r="K45" i="75"/>
  <c r="H45" i="75"/>
  <c r="K44" i="75"/>
  <c r="H44" i="75"/>
  <c r="K43" i="75"/>
  <c r="H43" i="75"/>
  <c r="K42" i="75"/>
  <c r="H42" i="75"/>
  <c r="K41" i="75"/>
  <c r="H41" i="75"/>
  <c r="K40" i="75"/>
  <c r="H40" i="75"/>
  <c r="K39" i="75"/>
  <c r="H39" i="75"/>
  <c r="K38" i="75"/>
  <c r="H38" i="75"/>
  <c r="K37" i="75"/>
  <c r="H37" i="75"/>
  <c r="K36" i="75"/>
  <c r="H36" i="75"/>
  <c r="K35" i="75"/>
  <c r="H35" i="75"/>
  <c r="K34" i="75"/>
  <c r="H34" i="75"/>
  <c r="K33" i="75"/>
  <c r="H33" i="75"/>
  <c r="H32" i="75"/>
  <c r="H31" i="75"/>
  <c r="H30" i="75"/>
  <c r="H29" i="75"/>
  <c r="H28" i="75"/>
  <c r="H27" i="75"/>
  <c r="H26" i="75"/>
  <c r="H25" i="75"/>
  <c r="H24" i="75"/>
  <c r="H23" i="75"/>
  <c r="H22" i="75"/>
  <c r="H21" i="75"/>
  <c r="H20" i="75"/>
  <c r="H19" i="75"/>
  <c r="H18" i="75"/>
  <c r="H17" i="75"/>
  <c r="H16" i="75"/>
  <c r="J15" i="75"/>
  <c r="D248" i="90"/>
  <c r="G248" i="90" s="1"/>
  <c r="D249" i="90"/>
  <c r="G249" i="90"/>
  <c r="M249" i="90"/>
  <c r="D250" i="90"/>
  <c r="G250" i="90" s="1"/>
  <c r="D251" i="90"/>
  <c r="G251" i="90"/>
  <c r="D252" i="90"/>
  <c r="G252" i="90" s="1"/>
  <c r="N535" i="88"/>
  <c r="L535" i="88"/>
  <c r="A535" i="88"/>
  <c r="O535" i="88" s="1"/>
  <c r="N532" i="88"/>
  <c r="L532" i="88"/>
  <c r="A532" i="88"/>
  <c r="O532" i="88" s="1"/>
  <c r="N533" i="88"/>
  <c r="L533" i="88"/>
  <c r="A533" i="88"/>
  <c r="O533" i="88" s="1"/>
  <c r="A6" i="88"/>
  <c r="A7" i="88"/>
  <c r="O7" i="88" s="1"/>
  <c r="A8" i="88"/>
  <c r="O8" i="88" s="1"/>
  <c r="A9" i="88"/>
  <c r="O9" i="88" s="1"/>
  <c r="A10" i="88"/>
  <c r="O10" i="88" s="1"/>
  <c r="A11" i="88"/>
  <c r="O11" i="88" s="1"/>
  <c r="A12" i="88"/>
  <c r="O12" i="88" s="1"/>
  <c r="A13" i="88"/>
  <c r="O13" i="88" s="1"/>
  <c r="A14" i="88"/>
  <c r="O14" i="88" s="1"/>
  <c r="A15" i="88"/>
  <c r="O15" i="88" s="1"/>
  <c r="A16" i="88"/>
  <c r="O16" i="88" s="1"/>
  <c r="A17" i="88"/>
  <c r="O17" i="88" s="1"/>
  <c r="A18" i="88"/>
  <c r="O18" i="88" s="1"/>
  <c r="A19" i="88"/>
  <c r="O19" i="88" s="1"/>
  <c r="A20" i="88"/>
  <c r="O20" i="88" s="1"/>
  <c r="A21" i="88"/>
  <c r="O21" i="88" s="1"/>
  <c r="A22" i="88"/>
  <c r="O22" i="88" s="1"/>
  <c r="A23" i="88"/>
  <c r="O23" i="88" s="1"/>
  <c r="A24" i="88"/>
  <c r="O24" i="88" s="1"/>
  <c r="A25" i="88"/>
  <c r="O25" i="88" s="1"/>
  <c r="A26" i="88"/>
  <c r="O26" i="88" s="1"/>
  <c r="A27" i="88"/>
  <c r="O27" i="88" s="1"/>
  <c r="A28" i="88"/>
  <c r="O28" i="88" s="1"/>
  <c r="A29" i="88"/>
  <c r="O29" i="88" s="1"/>
  <c r="A30" i="88"/>
  <c r="O30" i="88" s="1"/>
  <c r="A31" i="88"/>
  <c r="O31" i="88" s="1"/>
  <c r="A32" i="88"/>
  <c r="O32" i="88" s="1"/>
  <c r="A33" i="88"/>
  <c r="O33" i="88" s="1"/>
  <c r="A34" i="88"/>
  <c r="O34" i="88" s="1"/>
  <c r="A35" i="88"/>
  <c r="O35" i="88" s="1"/>
  <c r="A36" i="88"/>
  <c r="O36" i="88" s="1"/>
  <c r="A37" i="88"/>
  <c r="O37" i="88" s="1"/>
  <c r="A38" i="88"/>
  <c r="O38" i="88" s="1"/>
  <c r="A39" i="88"/>
  <c r="O39" i="88" s="1"/>
  <c r="A40" i="88"/>
  <c r="O40" i="88" s="1"/>
  <c r="A41" i="88"/>
  <c r="O41" i="88" s="1"/>
  <c r="A42" i="88"/>
  <c r="O42" i="88" s="1"/>
  <c r="A43" i="88"/>
  <c r="O43" i="88" s="1"/>
  <c r="A44" i="88"/>
  <c r="O44" i="88" s="1"/>
  <c r="A45" i="88"/>
  <c r="O45" i="88" s="1"/>
  <c r="A46" i="88"/>
  <c r="O46" i="88" s="1"/>
  <c r="A47" i="88"/>
  <c r="O47" i="88" s="1"/>
  <c r="A48" i="88"/>
  <c r="O48" i="88" s="1"/>
  <c r="A49" i="88"/>
  <c r="O49" i="88" s="1"/>
  <c r="A50" i="88"/>
  <c r="O50" i="88" s="1"/>
  <c r="A51" i="88"/>
  <c r="O51" i="88" s="1"/>
  <c r="A52" i="88"/>
  <c r="O52" i="88" s="1"/>
  <c r="A53" i="88"/>
  <c r="O53" i="88" s="1"/>
  <c r="A54" i="88"/>
  <c r="O54" i="88" s="1"/>
  <c r="A55" i="88"/>
  <c r="O55" i="88" s="1"/>
  <c r="A56" i="88"/>
  <c r="O56" i="88" s="1"/>
  <c r="A57" i="88"/>
  <c r="O57" i="88" s="1"/>
  <c r="A58" i="88"/>
  <c r="O58" i="88" s="1"/>
  <c r="A59" i="88"/>
  <c r="O59" i="88" s="1"/>
  <c r="A60" i="88"/>
  <c r="O60" i="88" s="1"/>
  <c r="A61" i="88"/>
  <c r="O61" i="88" s="1"/>
  <c r="A62" i="88"/>
  <c r="O62" i="88" s="1"/>
  <c r="A63" i="88"/>
  <c r="O63" i="88" s="1"/>
  <c r="A64" i="88"/>
  <c r="O64" i="88" s="1"/>
  <c r="A65" i="88"/>
  <c r="O65" i="88" s="1"/>
  <c r="A66" i="88"/>
  <c r="O66" i="88" s="1"/>
  <c r="A67" i="88"/>
  <c r="O67" i="88" s="1"/>
  <c r="A68" i="88"/>
  <c r="O68" i="88" s="1"/>
  <c r="A69" i="88"/>
  <c r="O69" i="88" s="1"/>
  <c r="A70" i="88"/>
  <c r="O70" i="88" s="1"/>
  <c r="A71" i="88"/>
  <c r="O71" i="88" s="1"/>
  <c r="A72" i="88"/>
  <c r="O72" i="88" s="1"/>
  <c r="A73" i="88"/>
  <c r="O73" i="88" s="1"/>
  <c r="A74" i="88"/>
  <c r="O74" i="88" s="1"/>
  <c r="A75" i="88"/>
  <c r="O75" i="88" s="1"/>
  <c r="A76" i="88"/>
  <c r="O76" i="88" s="1"/>
  <c r="A77" i="88"/>
  <c r="O77" i="88" s="1"/>
  <c r="A78" i="88"/>
  <c r="O78" i="88" s="1"/>
  <c r="A79" i="88"/>
  <c r="O79" i="88" s="1"/>
  <c r="A80" i="88"/>
  <c r="O80" i="88" s="1"/>
  <c r="A81" i="88"/>
  <c r="O81" i="88" s="1"/>
  <c r="A82" i="88"/>
  <c r="O82" i="88" s="1"/>
  <c r="A83" i="88"/>
  <c r="O83" i="88" s="1"/>
  <c r="A84" i="88"/>
  <c r="O84" i="88" s="1"/>
  <c r="A85" i="88"/>
  <c r="O85" i="88" s="1"/>
  <c r="A86" i="88"/>
  <c r="O86" i="88" s="1"/>
  <c r="A87" i="88"/>
  <c r="O87" i="88" s="1"/>
  <c r="A88" i="88"/>
  <c r="O88" i="88" s="1"/>
  <c r="A89" i="88"/>
  <c r="O89" i="88" s="1"/>
  <c r="A90" i="88"/>
  <c r="O90" i="88" s="1"/>
  <c r="A91" i="88"/>
  <c r="O91" i="88" s="1"/>
  <c r="A92" i="88"/>
  <c r="O92" i="88" s="1"/>
  <c r="A93" i="88"/>
  <c r="O93" i="88" s="1"/>
  <c r="A94" i="88"/>
  <c r="O94" i="88" s="1"/>
  <c r="A95" i="88"/>
  <c r="O95" i="88" s="1"/>
  <c r="A96" i="88"/>
  <c r="O96" i="88" s="1"/>
  <c r="A97" i="88"/>
  <c r="O97" i="88" s="1"/>
  <c r="A98" i="88"/>
  <c r="O98" i="88" s="1"/>
  <c r="A99" i="88"/>
  <c r="O99" i="88" s="1"/>
  <c r="A100" i="88"/>
  <c r="O100" i="88" s="1"/>
  <c r="A101" i="88"/>
  <c r="O101" i="88" s="1"/>
  <c r="A102" i="88"/>
  <c r="O102" i="88" s="1"/>
  <c r="A103" i="88"/>
  <c r="O103" i="88" s="1"/>
  <c r="A104" i="88"/>
  <c r="O104" i="88" s="1"/>
  <c r="A105" i="88"/>
  <c r="O105" i="88" s="1"/>
  <c r="A106" i="88"/>
  <c r="O106" i="88" s="1"/>
  <c r="A107" i="88"/>
  <c r="O107" i="88" s="1"/>
  <c r="A108" i="88"/>
  <c r="O108" i="88" s="1"/>
  <c r="A109" i="88"/>
  <c r="O109" i="88" s="1"/>
  <c r="A110" i="88"/>
  <c r="O110" i="88" s="1"/>
  <c r="A111" i="88"/>
  <c r="O111" i="88" s="1"/>
  <c r="A112" i="88"/>
  <c r="O112" i="88" s="1"/>
  <c r="A113" i="88"/>
  <c r="O113" i="88" s="1"/>
  <c r="A114" i="88"/>
  <c r="O114" i="88" s="1"/>
  <c r="A115" i="88"/>
  <c r="O115" i="88" s="1"/>
  <c r="A116" i="88"/>
  <c r="O116" i="88" s="1"/>
  <c r="A117" i="88"/>
  <c r="O117" i="88" s="1"/>
  <c r="A118" i="88"/>
  <c r="O118" i="88" s="1"/>
  <c r="A119" i="88"/>
  <c r="O119" i="88" s="1"/>
  <c r="A120" i="88"/>
  <c r="O120" i="88" s="1"/>
  <c r="A121" i="88"/>
  <c r="O121" i="88" s="1"/>
  <c r="A122" i="88"/>
  <c r="O122" i="88" s="1"/>
  <c r="A123" i="88"/>
  <c r="O123" i="88" s="1"/>
  <c r="A124" i="88"/>
  <c r="O124" i="88" s="1"/>
  <c r="A125" i="88"/>
  <c r="O125" i="88" s="1"/>
  <c r="A126" i="88"/>
  <c r="O126" i="88" s="1"/>
  <c r="A127" i="88"/>
  <c r="O127" i="88" s="1"/>
  <c r="A128" i="88"/>
  <c r="O128" i="88" s="1"/>
  <c r="A129" i="88"/>
  <c r="O129" i="88" s="1"/>
  <c r="A130" i="88"/>
  <c r="O130" i="88" s="1"/>
  <c r="A131" i="88"/>
  <c r="O131" i="88" s="1"/>
  <c r="A132" i="88"/>
  <c r="O132" i="88" s="1"/>
  <c r="A133" i="88"/>
  <c r="O133" i="88" s="1"/>
  <c r="A134" i="88"/>
  <c r="O134" i="88" s="1"/>
  <c r="A135" i="88"/>
  <c r="O135" i="88" s="1"/>
  <c r="A136" i="88"/>
  <c r="O136" i="88" s="1"/>
  <c r="A137" i="88"/>
  <c r="O137" i="88" s="1"/>
  <c r="A138" i="88"/>
  <c r="O138" i="88" s="1"/>
  <c r="A139" i="88"/>
  <c r="O139" i="88" s="1"/>
  <c r="A140" i="88"/>
  <c r="O140" i="88" s="1"/>
  <c r="A141" i="88"/>
  <c r="O141" i="88" s="1"/>
  <c r="A142" i="88"/>
  <c r="O142" i="88" s="1"/>
  <c r="A143" i="88"/>
  <c r="O143" i="88" s="1"/>
  <c r="A144" i="88"/>
  <c r="O144" i="88" s="1"/>
  <c r="A145" i="88"/>
  <c r="O145" i="88" s="1"/>
  <c r="A146" i="88"/>
  <c r="O146" i="88" s="1"/>
  <c r="A147" i="88"/>
  <c r="O147" i="88" s="1"/>
  <c r="A148" i="88"/>
  <c r="O148" i="88" s="1"/>
  <c r="A149" i="88"/>
  <c r="O149" i="88" s="1"/>
  <c r="A150" i="88"/>
  <c r="O150" i="88" s="1"/>
  <c r="A151" i="88"/>
  <c r="O151" i="88" s="1"/>
  <c r="A152" i="88"/>
  <c r="O152" i="88" s="1"/>
  <c r="A153" i="88"/>
  <c r="O153" i="88" s="1"/>
  <c r="A154" i="88"/>
  <c r="O154" i="88" s="1"/>
  <c r="A155" i="88"/>
  <c r="O155" i="88" s="1"/>
  <c r="A156" i="88"/>
  <c r="O156" i="88" s="1"/>
  <c r="A157" i="88"/>
  <c r="O157" i="88" s="1"/>
  <c r="A158" i="88"/>
  <c r="O158" i="88" s="1"/>
  <c r="A159" i="88"/>
  <c r="O159" i="88" s="1"/>
  <c r="A160" i="88"/>
  <c r="O160" i="88" s="1"/>
  <c r="A161" i="88"/>
  <c r="O161" i="88" s="1"/>
  <c r="A162" i="88"/>
  <c r="O162" i="88" s="1"/>
  <c r="A163" i="88"/>
  <c r="O163" i="88" s="1"/>
  <c r="A164" i="88"/>
  <c r="O164" i="88" s="1"/>
  <c r="A165" i="88"/>
  <c r="O165" i="88" s="1"/>
  <c r="A166" i="88"/>
  <c r="O166" i="88" s="1"/>
  <c r="A167" i="88"/>
  <c r="O167" i="88" s="1"/>
  <c r="A168" i="88"/>
  <c r="O168" i="88" s="1"/>
  <c r="A169" i="88"/>
  <c r="O169" i="88" s="1"/>
  <c r="A170" i="88"/>
  <c r="O170" i="88" s="1"/>
  <c r="A171" i="88"/>
  <c r="O171" i="88" s="1"/>
  <c r="A172" i="88"/>
  <c r="O172" i="88" s="1"/>
  <c r="A173" i="88"/>
  <c r="O173" i="88" s="1"/>
  <c r="A174" i="88"/>
  <c r="O174" i="88" s="1"/>
  <c r="A175" i="88"/>
  <c r="O175" i="88" s="1"/>
  <c r="A176" i="88"/>
  <c r="O176" i="88" s="1"/>
  <c r="A177" i="88"/>
  <c r="O177" i="88" s="1"/>
  <c r="A178" i="88"/>
  <c r="O178" i="88" s="1"/>
  <c r="A179" i="88"/>
  <c r="O179" i="88" s="1"/>
  <c r="A180" i="88"/>
  <c r="O180" i="88" s="1"/>
  <c r="A181" i="88"/>
  <c r="O181" i="88" s="1"/>
  <c r="A182" i="88"/>
  <c r="O182" i="88" s="1"/>
  <c r="A183" i="88"/>
  <c r="O183" i="88" s="1"/>
  <c r="A184" i="88"/>
  <c r="O184" i="88" s="1"/>
  <c r="A185" i="88"/>
  <c r="O185" i="88" s="1"/>
  <c r="A186" i="88"/>
  <c r="O186" i="88" s="1"/>
  <c r="A187" i="88"/>
  <c r="O187" i="88" s="1"/>
  <c r="A188" i="88"/>
  <c r="O188" i="88" s="1"/>
  <c r="A189" i="88"/>
  <c r="O189" i="88" s="1"/>
  <c r="A190" i="88"/>
  <c r="O190" i="88" s="1"/>
  <c r="A191" i="88"/>
  <c r="O191" i="88" s="1"/>
  <c r="A192" i="88"/>
  <c r="O192" i="88" s="1"/>
  <c r="A193" i="88"/>
  <c r="O193" i="88" s="1"/>
  <c r="A194" i="88"/>
  <c r="O194" i="88" s="1"/>
  <c r="A195" i="88"/>
  <c r="O195" i="88" s="1"/>
  <c r="A196" i="88"/>
  <c r="O196" i="88" s="1"/>
  <c r="A197" i="88"/>
  <c r="O197" i="88" s="1"/>
  <c r="A198" i="88"/>
  <c r="O198" i="88" s="1"/>
  <c r="A199" i="88"/>
  <c r="O199" i="88" s="1"/>
  <c r="A200" i="88"/>
  <c r="O200" i="88" s="1"/>
  <c r="A201" i="88"/>
  <c r="O201" i="88" s="1"/>
  <c r="A202" i="88"/>
  <c r="O202" i="88" s="1"/>
  <c r="A203" i="88"/>
  <c r="O203" i="88" s="1"/>
  <c r="A204" i="88"/>
  <c r="O204" i="88" s="1"/>
  <c r="A205" i="88"/>
  <c r="O205" i="88" s="1"/>
  <c r="A206" i="88"/>
  <c r="O206" i="88" s="1"/>
  <c r="A207" i="88"/>
  <c r="O207" i="88" s="1"/>
  <c r="A208" i="88"/>
  <c r="O208" i="88" s="1"/>
  <c r="A209" i="88"/>
  <c r="O209" i="88" s="1"/>
  <c r="A210" i="88"/>
  <c r="O210" i="88" s="1"/>
  <c r="A211" i="88"/>
  <c r="O211" i="88" s="1"/>
  <c r="A212" i="88"/>
  <c r="O212" i="88" s="1"/>
  <c r="A213" i="88"/>
  <c r="O213" i="88" s="1"/>
  <c r="A214" i="88"/>
  <c r="O214" i="88" s="1"/>
  <c r="A215" i="88"/>
  <c r="O215" i="88" s="1"/>
  <c r="A216" i="88"/>
  <c r="O216" i="88" s="1"/>
  <c r="A217" i="88"/>
  <c r="O217" i="88" s="1"/>
  <c r="A218" i="88"/>
  <c r="O218" i="88" s="1"/>
  <c r="A219" i="88"/>
  <c r="O219" i="88" s="1"/>
  <c r="A220" i="88"/>
  <c r="O220" i="88" s="1"/>
  <c r="A221" i="88"/>
  <c r="O221" i="88" s="1"/>
  <c r="A222" i="88"/>
  <c r="O222" i="88" s="1"/>
  <c r="A223" i="88"/>
  <c r="O223" i="88" s="1"/>
  <c r="A224" i="88"/>
  <c r="O224" i="88" s="1"/>
  <c r="A225" i="88"/>
  <c r="O225" i="88" s="1"/>
  <c r="A226" i="88"/>
  <c r="O226" i="88" s="1"/>
  <c r="A227" i="88"/>
  <c r="O227" i="88" s="1"/>
  <c r="A228" i="88"/>
  <c r="O228" i="88" s="1"/>
  <c r="A229" i="88"/>
  <c r="O229" i="88" s="1"/>
  <c r="A230" i="88"/>
  <c r="O230" i="88" s="1"/>
  <c r="A231" i="88"/>
  <c r="O231" i="88" s="1"/>
  <c r="A232" i="88"/>
  <c r="O232" i="88" s="1"/>
  <c r="A233" i="88"/>
  <c r="O233" i="88" s="1"/>
  <c r="A234" i="88"/>
  <c r="O234" i="88" s="1"/>
  <c r="A235" i="88"/>
  <c r="O235" i="88" s="1"/>
  <c r="A236" i="88"/>
  <c r="O236" i="88" s="1"/>
  <c r="A237" i="88"/>
  <c r="O237" i="88" s="1"/>
  <c r="A238" i="88"/>
  <c r="O238" i="88" s="1"/>
  <c r="A239" i="88"/>
  <c r="O239" i="88" s="1"/>
  <c r="A240" i="88"/>
  <c r="O240" i="88" s="1"/>
  <c r="A241" i="88"/>
  <c r="O241" i="88" s="1"/>
  <c r="A242" i="88"/>
  <c r="O242" i="88" s="1"/>
  <c r="A243" i="88"/>
  <c r="O243" i="88" s="1"/>
  <c r="A244" i="88"/>
  <c r="O244" i="88" s="1"/>
  <c r="A245" i="88"/>
  <c r="O245" i="88" s="1"/>
  <c r="A246" i="88"/>
  <c r="O246" i="88" s="1"/>
  <c r="A247" i="88"/>
  <c r="O247" i="88" s="1"/>
  <c r="A248" i="88"/>
  <c r="O248" i="88" s="1"/>
  <c r="A249" i="88"/>
  <c r="O249" i="88" s="1"/>
  <c r="A250" i="88"/>
  <c r="O250" i="88" s="1"/>
  <c r="A251" i="88"/>
  <c r="O251" i="88" s="1"/>
  <c r="A252" i="88"/>
  <c r="O252" i="88" s="1"/>
  <c r="A253" i="88"/>
  <c r="O253" i="88" s="1"/>
  <c r="A254" i="88"/>
  <c r="O254" i="88" s="1"/>
  <c r="A255" i="88"/>
  <c r="O255" i="88" s="1"/>
  <c r="A256" i="88"/>
  <c r="O256" i="88" s="1"/>
  <c r="A257" i="88"/>
  <c r="O257" i="88" s="1"/>
  <c r="A258" i="88"/>
  <c r="O258" i="88" s="1"/>
  <c r="A259" i="88"/>
  <c r="O259" i="88" s="1"/>
  <c r="A260" i="88"/>
  <c r="O260" i="88" s="1"/>
  <c r="A261" i="88"/>
  <c r="O261" i="88" s="1"/>
  <c r="A262" i="88"/>
  <c r="O262" i="88" s="1"/>
  <c r="A263" i="88"/>
  <c r="O263" i="88" s="1"/>
  <c r="A264" i="88"/>
  <c r="O264" i="88" s="1"/>
  <c r="A265" i="88"/>
  <c r="O265" i="88" s="1"/>
  <c r="A266" i="88"/>
  <c r="O266" i="88" s="1"/>
  <c r="A267" i="88"/>
  <c r="O267" i="88" s="1"/>
  <c r="A268" i="88"/>
  <c r="O268" i="88" s="1"/>
  <c r="A269" i="88"/>
  <c r="O269" i="88" s="1"/>
  <c r="A270" i="88"/>
  <c r="O270" i="88" s="1"/>
  <c r="A271" i="88"/>
  <c r="O271" i="88" s="1"/>
  <c r="A272" i="88"/>
  <c r="O272" i="88" s="1"/>
  <c r="A273" i="88"/>
  <c r="O273" i="88" s="1"/>
  <c r="A274" i="88"/>
  <c r="O274" i="88" s="1"/>
  <c r="A275" i="88"/>
  <c r="O275" i="88" s="1"/>
  <c r="A276" i="88"/>
  <c r="O276" i="88" s="1"/>
  <c r="A277" i="88"/>
  <c r="O277" i="88" s="1"/>
  <c r="A278" i="88"/>
  <c r="O278" i="88" s="1"/>
  <c r="A279" i="88"/>
  <c r="O279" i="88" s="1"/>
  <c r="A280" i="88"/>
  <c r="O280" i="88" s="1"/>
  <c r="A281" i="88"/>
  <c r="O281" i="88" s="1"/>
  <c r="A282" i="88"/>
  <c r="O282" i="88" s="1"/>
  <c r="A283" i="88"/>
  <c r="O283" i="88" s="1"/>
  <c r="A284" i="88"/>
  <c r="O284" i="88" s="1"/>
  <c r="A285" i="88"/>
  <c r="O285" i="88" s="1"/>
  <c r="A286" i="88"/>
  <c r="O286" i="88" s="1"/>
  <c r="A287" i="88"/>
  <c r="O287" i="88" s="1"/>
  <c r="A288" i="88"/>
  <c r="O288" i="88" s="1"/>
  <c r="A289" i="88"/>
  <c r="O289" i="88" s="1"/>
  <c r="A290" i="88"/>
  <c r="O290" i="88" s="1"/>
  <c r="A291" i="88"/>
  <c r="O291" i="88" s="1"/>
  <c r="A292" i="88"/>
  <c r="O292" i="88" s="1"/>
  <c r="A293" i="88"/>
  <c r="O293" i="88" s="1"/>
  <c r="A294" i="88"/>
  <c r="O294" i="88" s="1"/>
  <c r="A295" i="88"/>
  <c r="O295" i="88" s="1"/>
  <c r="A296" i="88"/>
  <c r="O296" i="88" s="1"/>
  <c r="A297" i="88"/>
  <c r="O297" i="88" s="1"/>
  <c r="A298" i="88"/>
  <c r="O298" i="88" s="1"/>
  <c r="A312" i="88"/>
  <c r="O312" i="88" s="1"/>
  <c r="A313" i="88"/>
  <c r="O313" i="88" s="1"/>
  <c r="A299" i="88"/>
  <c r="O299" i="88" s="1"/>
  <c r="A300" i="88"/>
  <c r="O300" i="88" s="1"/>
  <c r="A301" i="88"/>
  <c r="O301" i="88" s="1"/>
  <c r="A302" i="88"/>
  <c r="O302" i="88" s="1"/>
  <c r="A303" i="88"/>
  <c r="O303" i="88" s="1"/>
  <c r="A304" i="88"/>
  <c r="O304" i="88" s="1"/>
  <c r="A305" i="88"/>
  <c r="O305" i="88" s="1"/>
  <c r="A306" i="88"/>
  <c r="O306" i="88" s="1"/>
  <c r="A307" i="88"/>
  <c r="O307" i="88" s="1"/>
  <c r="A308" i="88"/>
  <c r="O308" i="88" s="1"/>
  <c r="A309" i="88"/>
  <c r="O309" i="88" s="1"/>
  <c r="A310" i="88"/>
  <c r="O310" i="88" s="1"/>
  <c r="A311" i="88"/>
  <c r="O311" i="88" s="1"/>
  <c r="A314" i="88"/>
  <c r="O314" i="88" s="1"/>
  <c r="A315" i="88"/>
  <c r="O315" i="88" s="1"/>
  <c r="A316" i="88"/>
  <c r="O316" i="88" s="1"/>
  <c r="A317" i="88"/>
  <c r="O317" i="88" s="1"/>
  <c r="A454" i="88"/>
  <c r="O454" i="88" s="1"/>
  <c r="A455" i="88"/>
  <c r="O455" i="88" s="1"/>
  <c r="A456" i="88"/>
  <c r="O456" i="88" s="1"/>
  <c r="A457" i="88"/>
  <c r="O457" i="88" s="1"/>
  <c r="A458" i="88"/>
  <c r="O458" i="88" s="1"/>
  <c r="A459" i="88"/>
  <c r="O459" i="88" s="1"/>
  <c r="A460" i="88"/>
  <c r="O460" i="88" s="1"/>
  <c r="A461" i="88"/>
  <c r="O461" i="88" s="1"/>
  <c r="A462" i="88"/>
  <c r="O462" i="88" s="1"/>
  <c r="A463" i="88"/>
  <c r="O463" i="88" s="1"/>
  <c r="A464" i="88"/>
  <c r="O464" i="88" s="1"/>
  <c r="A465" i="88"/>
  <c r="O465" i="88" s="1"/>
  <c r="A466" i="88"/>
  <c r="O466" i="88" s="1"/>
  <c r="A467" i="88"/>
  <c r="O467" i="88" s="1"/>
  <c r="A468" i="88"/>
  <c r="O468" i="88" s="1"/>
  <c r="A469" i="88"/>
  <c r="O469" i="88" s="1"/>
  <c r="A470" i="88"/>
  <c r="O470" i="88" s="1"/>
  <c r="A471" i="88"/>
  <c r="O471" i="88" s="1"/>
  <c r="A472" i="88"/>
  <c r="O472" i="88" s="1"/>
  <c r="A473" i="88"/>
  <c r="O473" i="88" s="1"/>
  <c r="A474" i="88"/>
  <c r="O474" i="88" s="1"/>
  <c r="A475" i="88"/>
  <c r="O475" i="88" s="1"/>
  <c r="A476" i="88"/>
  <c r="O476" i="88" s="1"/>
  <c r="A477" i="88"/>
  <c r="O477" i="88" s="1"/>
  <c r="A478" i="88"/>
  <c r="O478" i="88" s="1"/>
  <c r="A479" i="88"/>
  <c r="O479" i="88" s="1"/>
  <c r="A480" i="88"/>
  <c r="O480" i="88" s="1"/>
  <c r="A481" i="88"/>
  <c r="O481" i="88" s="1"/>
  <c r="A482" i="88"/>
  <c r="O482" i="88" s="1"/>
  <c r="A483" i="88"/>
  <c r="O483" i="88" s="1"/>
  <c r="A484" i="88"/>
  <c r="O484" i="88" s="1"/>
  <c r="A485" i="88"/>
  <c r="O485" i="88" s="1"/>
  <c r="A486" i="88"/>
  <c r="O486" i="88" s="1"/>
  <c r="A487" i="88"/>
  <c r="O487" i="88" s="1"/>
  <c r="A488" i="88"/>
  <c r="O488" i="88" s="1"/>
  <c r="A489" i="88"/>
  <c r="O489" i="88" s="1"/>
  <c r="A490" i="88"/>
  <c r="O490" i="88" s="1"/>
  <c r="A491" i="88"/>
  <c r="O491" i="88" s="1"/>
  <c r="A492" i="88"/>
  <c r="O492" i="88" s="1"/>
  <c r="A493" i="88"/>
  <c r="O493" i="88" s="1"/>
  <c r="A494" i="88"/>
  <c r="O494" i="88" s="1"/>
  <c r="A495" i="88"/>
  <c r="O495" i="88" s="1"/>
  <c r="A496" i="88"/>
  <c r="O496" i="88" s="1"/>
  <c r="A497" i="88"/>
  <c r="O497" i="88" s="1"/>
  <c r="A498" i="88"/>
  <c r="O498" i="88" s="1"/>
  <c r="A499" i="88"/>
  <c r="O499" i="88" s="1"/>
  <c r="A500" i="88"/>
  <c r="O500" i="88" s="1"/>
  <c r="A501" i="88"/>
  <c r="O501" i="88" s="1"/>
  <c r="A502" i="88"/>
  <c r="O502" i="88" s="1"/>
  <c r="A503" i="88"/>
  <c r="O503" i="88" s="1"/>
  <c r="A504" i="88"/>
  <c r="O504" i="88" s="1"/>
  <c r="A505" i="88"/>
  <c r="O505" i="88" s="1"/>
  <c r="A506" i="88"/>
  <c r="O506" i="88" s="1"/>
  <c r="A507" i="88"/>
  <c r="O507" i="88" s="1"/>
  <c r="A508" i="88"/>
  <c r="O508" i="88" s="1"/>
  <c r="A509" i="88"/>
  <c r="O509" i="88" s="1"/>
  <c r="A510" i="88"/>
  <c r="O510" i="88" s="1"/>
  <c r="A511" i="88"/>
  <c r="O511" i="88" s="1"/>
  <c r="A512" i="88"/>
  <c r="O512" i="88" s="1"/>
  <c r="A513" i="88"/>
  <c r="O513" i="88" s="1"/>
  <c r="A514" i="88"/>
  <c r="O514" i="88" s="1"/>
  <c r="A515" i="88"/>
  <c r="O515" i="88" s="1"/>
  <c r="A516" i="88"/>
  <c r="O516" i="88" s="1"/>
  <c r="A517" i="88"/>
  <c r="O517" i="88" s="1"/>
  <c r="A518" i="88"/>
  <c r="O518" i="88" s="1"/>
  <c r="A519" i="88"/>
  <c r="O519" i="88" s="1"/>
  <c r="A520" i="88"/>
  <c r="O520" i="88" s="1"/>
  <c r="A521" i="88"/>
  <c r="O521" i="88" s="1"/>
  <c r="A522" i="88"/>
  <c r="O522" i="88" s="1"/>
  <c r="A523" i="88"/>
  <c r="O523" i="88" s="1"/>
  <c r="A524" i="88"/>
  <c r="O524" i="88" s="1"/>
  <c r="A525" i="88"/>
  <c r="O525" i="88" s="1"/>
  <c r="A526" i="88"/>
  <c r="O526" i="88" s="1"/>
  <c r="A527" i="88"/>
  <c r="O527" i="88" s="1"/>
  <c r="A528" i="88"/>
  <c r="O528" i="88" s="1"/>
  <c r="A529" i="88"/>
  <c r="O529" i="88" s="1"/>
  <c r="A530" i="88"/>
  <c r="O530" i="88" s="1"/>
  <c r="A531" i="88"/>
  <c r="O531" i="88" s="1"/>
  <c r="A562" i="88"/>
  <c r="O562" i="88" s="1"/>
  <c r="A563" i="88"/>
  <c r="O563" i="88" s="1"/>
  <c r="A564" i="88"/>
  <c r="O564" i="88" s="1"/>
  <c r="A565" i="88"/>
  <c r="O565" i="88" s="1"/>
  <c r="A566" i="88"/>
  <c r="O566" i="88" s="1"/>
  <c r="A567" i="88"/>
  <c r="O567" i="88" s="1"/>
  <c r="A568" i="88"/>
  <c r="O568" i="88" s="1"/>
  <c r="A569" i="88"/>
  <c r="O569" i="88" s="1"/>
  <c r="A570" i="88"/>
  <c r="O570" i="88" s="1"/>
  <c r="A571" i="88"/>
  <c r="O571" i="88" s="1"/>
  <c r="A572" i="88"/>
  <c r="O572" i="88" s="1"/>
  <c r="A573" i="88"/>
  <c r="O573" i="88" s="1"/>
  <c r="A574" i="88"/>
  <c r="O574" i="88" s="1"/>
  <c r="A575" i="88"/>
  <c r="O575" i="88" s="1"/>
  <c r="A576" i="88"/>
  <c r="O576" i="88" s="1"/>
  <c r="A577" i="88"/>
  <c r="O577" i="88" s="1"/>
  <c r="A578" i="88"/>
  <c r="O578" i="88" s="1"/>
  <c r="A579" i="88"/>
  <c r="O579" i="88" s="1"/>
  <c r="A580" i="88"/>
  <c r="O580" i="88" s="1"/>
  <c r="A581" i="88"/>
  <c r="O581" i="88" s="1"/>
  <c r="A582" i="88"/>
  <c r="O582" i="88" s="1"/>
  <c r="A583" i="88"/>
  <c r="O583" i="88" s="1"/>
  <c r="A584" i="88"/>
  <c r="O584" i="88" s="1"/>
  <c r="A585" i="88"/>
  <c r="O585" i="88" s="1"/>
  <c r="A586" i="88"/>
  <c r="O586" i="88" s="1"/>
  <c r="A587" i="88"/>
  <c r="O587" i="88" s="1"/>
  <c r="A588" i="88"/>
  <c r="O588" i="88" s="1"/>
  <c r="A589" i="88"/>
  <c r="O589" i="88" s="1"/>
  <c r="A590" i="88"/>
  <c r="O590" i="88" s="1"/>
  <c r="A591" i="88"/>
  <c r="O591" i="88" s="1"/>
  <c r="A592" i="88"/>
  <c r="O592" i="88" s="1"/>
  <c r="A593" i="88"/>
  <c r="O593" i="88" s="1"/>
  <c r="A594" i="88"/>
  <c r="O594" i="88" s="1"/>
  <c r="A595" i="88"/>
  <c r="O595" i="88" s="1"/>
  <c r="A596" i="88"/>
  <c r="O596" i="88" s="1"/>
  <c r="A597" i="88"/>
  <c r="O597" i="88" s="1"/>
  <c r="A598" i="88"/>
  <c r="O598" i="88" s="1"/>
  <c r="A599" i="88"/>
  <c r="O599" i="88" s="1"/>
  <c r="A600" i="88"/>
  <c r="O600" i="88" s="1"/>
  <c r="A601" i="88"/>
  <c r="O601" i="88" s="1"/>
  <c r="A602" i="88"/>
  <c r="O602" i="88" s="1"/>
  <c r="A603" i="88"/>
  <c r="O603" i="88" s="1"/>
  <c r="A604" i="88"/>
  <c r="O604" i="88" s="1"/>
  <c r="A605" i="88"/>
  <c r="O605" i="88" s="1"/>
  <c r="A606" i="88"/>
  <c r="O606" i="88" s="1"/>
  <c r="A607" i="88"/>
  <c r="O607" i="88" s="1"/>
  <c r="A608" i="88"/>
  <c r="O608" i="88" s="1"/>
  <c r="A609" i="88"/>
  <c r="O609" i="88" s="1"/>
  <c r="A610" i="88"/>
  <c r="O610" i="88" s="1"/>
  <c r="A611" i="88"/>
  <c r="O611" i="88" s="1"/>
  <c r="A612" i="88"/>
  <c r="O612" i="88" s="1"/>
  <c r="A613" i="88"/>
  <c r="O613" i="88" s="1"/>
  <c r="A614" i="88"/>
  <c r="O614" i="88" s="1"/>
  <c r="A615" i="88"/>
  <c r="O615" i="88" s="1"/>
  <c r="A616" i="88"/>
  <c r="O616" i="88" s="1"/>
  <c r="A617" i="88"/>
  <c r="O617" i="88" s="1"/>
  <c r="A618" i="88"/>
  <c r="O618" i="88" s="1"/>
  <c r="A619" i="88"/>
  <c r="O619" i="88" s="1"/>
  <c r="A620" i="88"/>
  <c r="O620" i="88" s="1"/>
  <c r="A621" i="88"/>
  <c r="O621" i="88" s="1"/>
  <c r="A622" i="88"/>
  <c r="O622" i="88" s="1"/>
  <c r="A623" i="88"/>
  <c r="O623" i="88" s="1"/>
  <c r="A624" i="88"/>
  <c r="O624" i="88" s="1"/>
  <c r="A625" i="88"/>
  <c r="O625" i="88" s="1"/>
  <c r="A626" i="88"/>
  <c r="O626" i="88" s="1"/>
  <c r="A627" i="88"/>
  <c r="O627" i="88" s="1"/>
  <c r="A628" i="88"/>
  <c r="O628" i="88" s="1"/>
  <c r="A629" i="88"/>
  <c r="O629" i="88" s="1"/>
  <c r="A630" i="88"/>
  <c r="O630" i="88" s="1"/>
  <c r="A631" i="88"/>
  <c r="O631" i="88" s="1"/>
  <c r="A632" i="88"/>
  <c r="O632" i="88" s="1"/>
  <c r="A633" i="88"/>
  <c r="O633" i="88" s="1"/>
  <c r="A634" i="88"/>
  <c r="O634" i="88" s="1"/>
  <c r="A635" i="88"/>
  <c r="O635" i="88" s="1"/>
  <c r="A636" i="88"/>
  <c r="O636" i="88" s="1"/>
  <c r="A637" i="88"/>
  <c r="O637" i="88" s="1"/>
  <c r="A638" i="88"/>
  <c r="O638" i="88" s="1"/>
  <c r="A639" i="88"/>
  <c r="O639" i="88" s="1"/>
  <c r="A640" i="88"/>
  <c r="O640" i="88" s="1"/>
  <c r="A641" i="88"/>
  <c r="O641" i="88" s="1"/>
  <c r="A642" i="88"/>
  <c r="O642" i="88" s="1"/>
  <c r="A643" i="88"/>
  <c r="O643" i="88" s="1"/>
  <c r="A644" i="88"/>
  <c r="O644" i="88" s="1"/>
  <c r="A645" i="88"/>
  <c r="O645" i="88" s="1"/>
  <c r="A646" i="88"/>
  <c r="O646" i="88" s="1"/>
  <c r="A647" i="88"/>
  <c r="O647" i="88" s="1"/>
  <c r="A648" i="88"/>
  <c r="O648" i="88" s="1"/>
  <c r="A649" i="88"/>
  <c r="O649" i="88" s="1"/>
  <c r="A650" i="88"/>
  <c r="O650" i="88" s="1"/>
  <c r="A651" i="88"/>
  <c r="O651" i="88" s="1"/>
  <c r="A652" i="88"/>
  <c r="O652" i="88" s="1"/>
  <c r="A653" i="88"/>
  <c r="O653" i="88" s="1"/>
  <c r="A654" i="88"/>
  <c r="O654" i="88" s="1"/>
  <c r="A655" i="88"/>
  <c r="O655" i="88" s="1"/>
  <c r="A656" i="88"/>
  <c r="O656" i="88" s="1"/>
  <c r="A657" i="88"/>
  <c r="O657" i="88" s="1"/>
  <c r="A658" i="88"/>
  <c r="O658" i="88" s="1"/>
  <c r="A659" i="88"/>
  <c r="O659" i="88" s="1"/>
  <c r="A660" i="88"/>
  <c r="O660" i="88" s="1"/>
  <c r="A661" i="88"/>
  <c r="O661" i="88" s="1"/>
  <c r="A662" i="88"/>
  <c r="O662" i="88" s="1"/>
  <c r="A663" i="88"/>
  <c r="O663" i="88" s="1"/>
  <c r="A664" i="88"/>
  <c r="O664" i="88" s="1"/>
  <c r="A665" i="88"/>
  <c r="O665" i="88" s="1"/>
  <c r="A666" i="88"/>
  <c r="O666" i="88" s="1"/>
  <c r="A667" i="88"/>
  <c r="O667" i="88" s="1"/>
  <c r="A668" i="88"/>
  <c r="O668" i="88" s="1"/>
  <c r="A669" i="88"/>
  <c r="O669" i="88" s="1"/>
  <c r="A670" i="88"/>
  <c r="O670" i="88" s="1"/>
  <c r="A671" i="88"/>
  <c r="O671" i="88" s="1"/>
  <c r="A672" i="88"/>
  <c r="O672" i="88" s="1"/>
  <c r="A673" i="88"/>
  <c r="O673" i="88" s="1"/>
  <c r="A674" i="88"/>
  <c r="O674" i="88" s="1"/>
  <c r="A675" i="88"/>
  <c r="O675" i="88" s="1"/>
  <c r="A676" i="88"/>
  <c r="O676" i="88" s="1"/>
  <c r="A677" i="88"/>
  <c r="O677" i="88" s="1"/>
  <c r="A678" i="88"/>
  <c r="O678" i="88" s="1"/>
  <c r="A679" i="88"/>
  <c r="O679" i="88" s="1"/>
  <c r="A680" i="88"/>
  <c r="O680" i="88" s="1"/>
  <c r="A681" i="88"/>
  <c r="O681" i="88" s="1"/>
  <c r="A682" i="88"/>
  <c r="O682" i="88" s="1"/>
  <c r="A683" i="88"/>
  <c r="O683" i="88" s="1"/>
  <c r="A684" i="88"/>
  <c r="O684" i="88" s="1"/>
  <c r="A685" i="88"/>
  <c r="O685" i="88" s="1"/>
  <c r="A686" i="88"/>
  <c r="O686" i="88" s="1"/>
  <c r="A687" i="88"/>
  <c r="O687" i="88" s="1"/>
  <c r="A688" i="88"/>
  <c r="O688" i="88" s="1"/>
  <c r="A689" i="88"/>
  <c r="O689" i="88" s="1"/>
  <c r="A690" i="88"/>
  <c r="O690" i="88" s="1"/>
  <c r="A691" i="88"/>
  <c r="O691" i="88" s="1"/>
  <c r="A692" i="88"/>
  <c r="O692" i="88" s="1"/>
  <c r="A693" i="88"/>
  <c r="O693" i="88" s="1"/>
  <c r="A694" i="88"/>
  <c r="O694" i="88" s="1"/>
  <c r="A695" i="88"/>
  <c r="O695" i="88" s="1"/>
  <c r="A696" i="88"/>
  <c r="O696" i="88" s="1"/>
  <c r="A697" i="88"/>
  <c r="O697" i="88" s="1"/>
  <c r="A698" i="88"/>
  <c r="O698" i="88" s="1"/>
  <c r="A699" i="88"/>
  <c r="O699" i="88" s="1"/>
  <c r="A700" i="88"/>
  <c r="O700" i="88" s="1"/>
  <c r="A701" i="88"/>
  <c r="O701" i="88" s="1"/>
  <c r="A702" i="88"/>
  <c r="O702" i="88" s="1"/>
  <c r="A703" i="88"/>
  <c r="O703" i="88" s="1"/>
  <c r="A704" i="88"/>
  <c r="O704" i="88" s="1"/>
  <c r="A705" i="88"/>
  <c r="O705" i="88" s="1"/>
  <c r="A706" i="88"/>
  <c r="O706" i="88" s="1"/>
  <c r="A707" i="88"/>
  <c r="O707" i="88" s="1"/>
  <c r="A708" i="88"/>
  <c r="O708" i="88" s="1"/>
  <c r="A709" i="88"/>
  <c r="O709" i="88" s="1"/>
  <c r="A710" i="88"/>
  <c r="O710" i="88" s="1"/>
  <c r="A711" i="88"/>
  <c r="O711" i="88" s="1"/>
  <c r="A712" i="88"/>
  <c r="O712" i="88" s="1"/>
  <c r="A713" i="88"/>
  <c r="O713" i="88" s="1"/>
  <c r="A714" i="88"/>
  <c r="O714" i="88" s="1"/>
  <c r="A715" i="88"/>
  <c r="O715" i="88" s="1"/>
  <c r="A716" i="88"/>
  <c r="O716" i="88" s="1"/>
  <c r="A717" i="88"/>
  <c r="O717" i="88" s="1"/>
  <c r="A718" i="88"/>
  <c r="O718" i="88" s="1"/>
  <c r="A719" i="88"/>
  <c r="O719" i="88" s="1"/>
  <c r="A720" i="88"/>
  <c r="O720" i="88" s="1"/>
  <c r="A721" i="88"/>
  <c r="O721" i="88" s="1"/>
  <c r="A722" i="88"/>
  <c r="O722" i="88" s="1"/>
  <c r="A723" i="88"/>
  <c r="O723" i="88" s="1"/>
  <c r="A724" i="88"/>
  <c r="O724" i="88" s="1"/>
  <c r="A725" i="88"/>
  <c r="O725" i="88" s="1"/>
  <c r="A726" i="88"/>
  <c r="O726" i="88" s="1"/>
  <c r="A727" i="88"/>
  <c r="O727" i="88" s="1"/>
  <c r="A728" i="88"/>
  <c r="O728" i="88" s="1"/>
  <c r="A729" i="88"/>
  <c r="O729" i="88" s="1"/>
  <c r="A730" i="88"/>
  <c r="O730" i="88" s="1"/>
  <c r="A731" i="88"/>
  <c r="O731" i="88" s="1"/>
  <c r="A732" i="88"/>
  <c r="O732" i="88" s="1"/>
  <c r="A733" i="88"/>
  <c r="O733" i="88" s="1"/>
  <c r="A734" i="88"/>
  <c r="O734" i="88" s="1"/>
  <c r="A735" i="88"/>
  <c r="O735" i="88" s="1"/>
  <c r="A736" i="88"/>
  <c r="O736" i="88" s="1"/>
  <c r="A737" i="88"/>
  <c r="O737" i="88" s="1"/>
  <c r="A738" i="88"/>
  <c r="O738" i="88" s="1"/>
  <c r="A739" i="88"/>
  <c r="O739" i="88" s="1"/>
  <c r="A740" i="88"/>
  <c r="O740" i="88" s="1"/>
  <c r="A741" i="88"/>
  <c r="O741" i="88" s="1"/>
  <c r="A742" i="88"/>
  <c r="O742" i="88" s="1"/>
  <c r="A743" i="88"/>
  <c r="O743" i="88" s="1"/>
  <c r="A744" i="88"/>
  <c r="O744" i="88" s="1"/>
  <c r="A745" i="88"/>
  <c r="O745" i="88" s="1"/>
  <c r="A746" i="88"/>
  <c r="O746" i="88" s="1"/>
  <c r="A747" i="88"/>
  <c r="O747" i="88" s="1"/>
  <c r="A748" i="88"/>
  <c r="O748" i="88" s="1"/>
  <c r="A749" i="88"/>
  <c r="O749" i="88" s="1"/>
  <c r="A750" i="88"/>
  <c r="O750" i="88" s="1"/>
  <c r="A751" i="88"/>
  <c r="O751" i="88" s="1"/>
  <c r="A752" i="88"/>
  <c r="O752" i="88" s="1"/>
  <c r="A753" i="88"/>
  <c r="O753" i="88" s="1"/>
  <c r="A754" i="88"/>
  <c r="O754" i="88" s="1"/>
  <c r="A755" i="88"/>
  <c r="O755" i="88" s="1"/>
  <c r="A756" i="88"/>
  <c r="O756" i="88" s="1"/>
  <c r="A757" i="88"/>
  <c r="O757" i="88" s="1"/>
  <c r="A758" i="88"/>
  <c r="O758" i="88" s="1"/>
  <c r="A759" i="88"/>
  <c r="O759" i="88" s="1"/>
  <c r="A760" i="88"/>
  <c r="O760" i="88" s="1"/>
  <c r="A761" i="88"/>
  <c r="O761" i="88" s="1"/>
  <c r="A762" i="88"/>
  <c r="O762" i="88" s="1"/>
  <c r="A763" i="88"/>
  <c r="O763" i="88" s="1"/>
  <c r="A764" i="88"/>
  <c r="O764" i="88" s="1"/>
  <c r="A765" i="88"/>
  <c r="O765" i="88" s="1"/>
  <c r="A766" i="88"/>
  <c r="O766" i="88" s="1"/>
  <c r="A767" i="88"/>
  <c r="O767" i="88" s="1"/>
  <c r="A768" i="88"/>
  <c r="O768" i="88" s="1"/>
  <c r="A769" i="88"/>
  <c r="O769" i="88" s="1"/>
  <c r="A770" i="88"/>
  <c r="O770" i="88" s="1"/>
  <c r="A771" i="88"/>
  <c r="O771" i="88" s="1"/>
  <c r="A772" i="88"/>
  <c r="O772" i="88" s="1"/>
  <c r="A773" i="88"/>
  <c r="O773" i="88" s="1"/>
  <c r="A774" i="88"/>
  <c r="O774" i="88" s="1"/>
  <c r="A775" i="88"/>
  <c r="O775" i="88" s="1"/>
  <c r="A776" i="88"/>
  <c r="O776" i="88" s="1"/>
  <c r="A777" i="88"/>
  <c r="O777" i="88" s="1"/>
  <c r="A778" i="88"/>
  <c r="O778" i="88" s="1"/>
  <c r="A783" i="88"/>
  <c r="O783" i="88" s="1"/>
  <c r="A784" i="88"/>
  <c r="O784" i="88" s="1"/>
  <c r="A785" i="88"/>
  <c r="O785" i="88" s="1"/>
  <c r="A786" i="88"/>
  <c r="O786" i="88" s="1"/>
  <c r="A787" i="88"/>
  <c r="O787" i="88" s="1"/>
  <c r="A788" i="88"/>
  <c r="O788" i="88" s="1"/>
  <c r="A789" i="88"/>
  <c r="O789" i="88" s="1"/>
  <c r="A790" i="88"/>
  <c r="O790" i="88" s="1"/>
  <c r="A791" i="88"/>
  <c r="O791" i="88" s="1"/>
  <c r="A792" i="88"/>
  <c r="O792" i="88" s="1"/>
  <c r="A793" i="88"/>
  <c r="O793" i="88" s="1"/>
  <c r="A794" i="88"/>
  <c r="O794" i="88" s="1"/>
  <c r="A795" i="88"/>
  <c r="O795" i="88" s="1"/>
  <c r="A796" i="88"/>
  <c r="O796" i="88" s="1"/>
  <c r="A797" i="88"/>
  <c r="O797" i="88" s="1"/>
  <c r="A798" i="88"/>
  <c r="O798" i="88" s="1"/>
  <c r="A799" i="88"/>
  <c r="O799" i="88" s="1"/>
  <c r="A801" i="88"/>
  <c r="O801" i="88" s="1"/>
  <c r="A802" i="88"/>
  <c r="O802" i="88" s="1"/>
  <c r="A803" i="88"/>
  <c r="O803" i="88" s="1"/>
  <c r="A804" i="88"/>
  <c r="O804" i="88" s="1"/>
  <c r="A800" i="88"/>
  <c r="O800" i="88" s="1"/>
  <c r="A805" i="88"/>
  <c r="O805" i="88" s="1"/>
  <c r="A806" i="88"/>
  <c r="O806" i="88" s="1"/>
  <c r="A807" i="88"/>
  <c r="O807" i="88" s="1"/>
  <c r="A808" i="88"/>
  <c r="O808" i="88" s="1"/>
  <c r="A809" i="88"/>
  <c r="O809" i="88" s="1"/>
  <c r="A810" i="88"/>
  <c r="O810" i="88" s="1"/>
  <c r="A811" i="88"/>
  <c r="O811" i="88" s="1"/>
  <c r="A812" i="88"/>
  <c r="O812" i="88" s="1"/>
  <c r="A813" i="88"/>
  <c r="O813" i="88" s="1"/>
  <c r="A814" i="88"/>
  <c r="O814" i="88" s="1"/>
  <c r="A815" i="88"/>
  <c r="O815" i="88" s="1"/>
  <c r="A816" i="88"/>
  <c r="O816" i="88" s="1"/>
  <c r="A817" i="88"/>
  <c r="O817" i="88" s="1"/>
  <c r="A818" i="88"/>
  <c r="O818" i="88" s="1"/>
  <c r="A819" i="88"/>
  <c r="O819" i="88" s="1"/>
  <c r="A820" i="88"/>
  <c r="O820" i="88" s="1"/>
  <c r="A821" i="88"/>
  <c r="O821" i="88" s="1"/>
  <c r="A822" i="88"/>
  <c r="O822" i="88" s="1"/>
  <c r="A823" i="88"/>
  <c r="O823" i="88" s="1"/>
  <c r="A824" i="88"/>
  <c r="O824" i="88" s="1"/>
  <c r="A825" i="88"/>
  <c r="O825" i="88" s="1"/>
  <c r="A826" i="88"/>
  <c r="O826" i="88" s="1"/>
  <c r="A827" i="88"/>
  <c r="O827" i="88" s="1"/>
  <c r="A828" i="88"/>
  <c r="O828" i="88" s="1"/>
  <c r="A829" i="88"/>
  <c r="O829" i="88" s="1"/>
  <c r="A830" i="88"/>
  <c r="O830" i="88" s="1"/>
  <c r="A831" i="88"/>
  <c r="O831" i="88" s="1"/>
  <c r="A832" i="88"/>
  <c r="O832" i="88" s="1"/>
  <c r="A833" i="88"/>
  <c r="O833" i="88" s="1"/>
  <c r="A834" i="88"/>
  <c r="O834" i="88" s="1"/>
  <c r="A835" i="88"/>
  <c r="O835" i="88" s="1"/>
  <c r="A836" i="88"/>
  <c r="O836" i="88" s="1"/>
  <c r="A837" i="88"/>
  <c r="O837" i="88" s="1"/>
  <c r="A838" i="88"/>
  <c r="O838" i="88" s="1"/>
  <c r="A839" i="88"/>
  <c r="O839" i="88" s="1"/>
  <c r="A840" i="88"/>
  <c r="O840" i="88" s="1"/>
  <c r="A841" i="88"/>
  <c r="O841" i="88" s="1"/>
  <c r="A842" i="88"/>
  <c r="O842" i="88" s="1"/>
  <c r="A843" i="88"/>
  <c r="O843" i="88" s="1"/>
  <c r="A844" i="88"/>
  <c r="O844" i="88" s="1"/>
  <c r="A845" i="88"/>
  <c r="O845" i="88" s="1"/>
  <c r="A846" i="88"/>
  <c r="O846" i="88" s="1"/>
  <c r="A847" i="88"/>
  <c r="O847" i="88" s="1"/>
  <c r="A848" i="88"/>
  <c r="O848" i="88" s="1"/>
  <c r="A849" i="88"/>
  <c r="O849" i="88" s="1"/>
  <c r="A850" i="88"/>
  <c r="O850" i="88" s="1"/>
  <c r="A851" i="88"/>
  <c r="O851" i="88" s="1"/>
  <c r="A852" i="88"/>
  <c r="O852" i="88" s="1"/>
  <c r="A853" i="88"/>
  <c r="O853" i="88" s="1"/>
  <c r="A854" i="88"/>
  <c r="O854" i="88" s="1"/>
  <c r="A855" i="88"/>
  <c r="O855" i="88" s="1"/>
  <c r="A856" i="88"/>
  <c r="O856" i="88" s="1"/>
  <c r="A857" i="88"/>
  <c r="O857" i="88" s="1"/>
  <c r="A858" i="88"/>
  <c r="O858" i="88" s="1"/>
  <c r="A859" i="88"/>
  <c r="O859" i="88" s="1"/>
  <c r="A860" i="88"/>
  <c r="O860" i="88" s="1"/>
  <c r="A861" i="88"/>
  <c r="O861" i="88" s="1"/>
  <c r="A862" i="88"/>
  <c r="O862" i="88" s="1"/>
  <c r="A863" i="88"/>
  <c r="O863" i="88" s="1"/>
  <c r="A864" i="88"/>
  <c r="O864" i="88" s="1"/>
  <c r="A865" i="88"/>
  <c r="O865" i="88" s="1"/>
  <c r="A866" i="88"/>
  <c r="O866" i="88" s="1"/>
  <c r="A867" i="88"/>
  <c r="O867" i="88" s="1"/>
  <c r="A868" i="88"/>
  <c r="O868" i="88" s="1"/>
  <c r="A869" i="88"/>
  <c r="O869" i="88" s="1"/>
  <c r="A870" i="88"/>
  <c r="O870" i="88" s="1"/>
  <c r="A871" i="88"/>
  <c r="O871" i="88" s="1"/>
  <c r="A872" i="88"/>
  <c r="O872" i="88" s="1"/>
  <c r="A873" i="88"/>
  <c r="O873" i="88" s="1"/>
  <c r="A874" i="88"/>
  <c r="O874" i="88" s="1"/>
  <c r="A875" i="88"/>
  <c r="O875" i="88" s="1"/>
  <c r="A876" i="88"/>
  <c r="O876" i="88" s="1"/>
  <c r="A877" i="88"/>
  <c r="O877" i="88" s="1"/>
  <c r="A878" i="88"/>
  <c r="O878" i="88" s="1"/>
  <c r="A879" i="88"/>
  <c r="O879" i="88" s="1"/>
  <c r="A880" i="88"/>
  <c r="O880" i="88" s="1"/>
  <c r="A881" i="88"/>
  <c r="O881" i="88" s="1"/>
  <c r="A882" i="88"/>
  <c r="O882" i="88" s="1"/>
  <c r="A883" i="88"/>
  <c r="O883" i="88" s="1"/>
  <c r="A884" i="88"/>
  <c r="O884" i="88" s="1"/>
  <c r="A885" i="88"/>
  <c r="O885" i="88" s="1"/>
  <c r="A886" i="88"/>
  <c r="O886" i="88" s="1"/>
  <c r="A887" i="88"/>
  <c r="O887" i="88" s="1"/>
  <c r="A888" i="88"/>
  <c r="O888" i="88" s="1"/>
  <c r="A889" i="88"/>
  <c r="O889" i="88" s="1"/>
  <c r="A890" i="88"/>
  <c r="O890" i="88" s="1"/>
  <c r="A891" i="88"/>
  <c r="O891" i="88" s="1"/>
  <c r="A892" i="88"/>
  <c r="O892" i="88" s="1"/>
  <c r="A893" i="88"/>
  <c r="O893" i="88" s="1"/>
  <c r="A894" i="88"/>
  <c r="O894" i="88" s="1"/>
  <c r="A895" i="88"/>
  <c r="O895" i="88" s="1"/>
  <c r="A896" i="88"/>
  <c r="O896" i="88" s="1"/>
  <c r="A897" i="88"/>
  <c r="O897" i="88" s="1"/>
  <c r="A898" i="88"/>
  <c r="O898" i="88" s="1"/>
  <c r="A899" i="88"/>
  <c r="O899" i="88" s="1"/>
  <c r="A900" i="88"/>
  <c r="O900" i="88" s="1"/>
  <c r="A901" i="88"/>
  <c r="O901" i="88" s="1"/>
  <c r="A902" i="88"/>
  <c r="O902" i="88" s="1"/>
  <c r="A903" i="88"/>
  <c r="O903" i="88" s="1"/>
  <c r="A904" i="88"/>
  <c r="O904" i="88" s="1"/>
  <c r="A905" i="88"/>
  <c r="O905" i="88" s="1"/>
  <c r="A906" i="88"/>
  <c r="O906" i="88" s="1"/>
  <c r="A907" i="88"/>
  <c r="O907" i="88" s="1"/>
  <c r="A908" i="88"/>
  <c r="O908" i="88" s="1"/>
  <c r="A909" i="88"/>
  <c r="O909" i="88" s="1"/>
  <c r="A910" i="88"/>
  <c r="O910" i="88" s="1"/>
  <c r="A911" i="88"/>
  <c r="O911" i="88" s="1"/>
  <c r="A912" i="88"/>
  <c r="O912" i="88" s="1"/>
  <c r="A913" i="88"/>
  <c r="O913" i="88" s="1"/>
  <c r="A914" i="88"/>
  <c r="O914" i="88" s="1"/>
  <c r="A915" i="88"/>
  <c r="O915" i="88" s="1"/>
  <c r="A916" i="88"/>
  <c r="O916" i="88" s="1"/>
  <c r="A917" i="88"/>
  <c r="O917" i="88" s="1"/>
  <c r="A918" i="88"/>
  <c r="O918" i="88" s="1"/>
  <c r="A919" i="88"/>
  <c r="O919" i="88" s="1"/>
  <c r="A920" i="88"/>
  <c r="O920" i="88" s="1"/>
  <c r="A921" i="88"/>
  <c r="O921" i="88" s="1"/>
  <c r="A922" i="88"/>
  <c r="O922" i="88" s="1"/>
  <c r="A923" i="88"/>
  <c r="O923" i="88" s="1"/>
  <c r="A924" i="88"/>
  <c r="O924" i="88" s="1"/>
  <c r="A925" i="88"/>
  <c r="O925" i="88" s="1"/>
  <c r="A926" i="88"/>
  <c r="O926" i="88" s="1"/>
  <c r="A927" i="88"/>
  <c r="O927" i="88" s="1"/>
  <c r="A928" i="88"/>
  <c r="O928" i="88" s="1"/>
  <c r="A929" i="88"/>
  <c r="O929" i="88" s="1"/>
  <c r="A930" i="88"/>
  <c r="O930" i="88" s="1"/>
  <c r="A931" i="88"/>
  <c r="O931" i="88" s="1"/>
  <c r="A932" i="88"/>
  <c r="O932" i="88" s="1"/>
  <c r="A933" i="88"/>
  <c r="O933" i="88" s="1"/>
  <c r="A934" i="88"/>
  <c r="O934" i="88" s="1"/>
  <c r="A935" i="88"/>
  <c r="O935" i="88" s="1"/>
  <c r="A936" i="88"/>
  <c r="O936" i="88" s="1"/>
  <c r="A937" i="88"/>
  <c r="O937" i="88" s="1"/>
  <c r="A938" i="88"/>
  <c r="O938" i="88" s="1"/>
  <c r="A939" i="88"/>
  <c r="O939" i="88" s="1"/>
  <c r="A940" i="88"/>
  <c r="O940" i="88" s="1"/>
  <c r="A941" i="88"/>
  <c r="O941" i="88" s="1"/>
  <c r="A942" i="88"/>
  <c r="O942" i="88" s="1"/>
  <c r="A943" i="88"/>
  <c r="O943" i="88" s="1"/>
  <c r="A944" i="88"/>
  <c r="O944" i="88" s="1"/>
  <c r="A945" i="88"/>
  <c r="O945" i="88" s="1"/>
  <c r="A946" i="88"/>
  <c r="O946" i="88" s="1"/>
  <c r="A947" i="88"/>
  <c r="O947" i="88" s="1"/>
  <c r="A948" i="88"/>
  <c r="O948" i="88" s="1"/>
  <c r="A949" i="88"/>
  <c r="O949" i="88" s="1"/>
  <c r="A950" i="88"/>
  <c r="O950" i="88" s="1"/>
  <c r="A951" i="88"/>
  <c r="O951" i="88" s="1"/>
  <c r="A952" i="88"/>
  <c r="O952" i="88" s="1"/>
  <c r="A953" i="88"/>
  <c r="O953" i="88" s="1"/>
  <c r="A954" i="88"/>
  <c r="O954" i="88" s="1"/>
  <c r="A955" i="88"/>
  <c r="O955" i="88" s="1"/>
  <c r="A956" i="88"/>
  <c r="O956" i="88" s="1"/>
  <c r="A957" i="88"/>
  <c r="O957" i="88" s="1"/>
  <c r="A958" i="88"/>
  <c r="O958" i="88" s="1"/>
  <c r="A959" i="88"/>
  <c r="O959" i="88" s="1"/>
  <c r="A960" i="88"/>
  <c r="O960" i="88" s="1"/>
  <c r="A961" i="88"/>
  <c r="O961" i="88" s="1"/>
  <c r="A962" i="88"/>
  <c r="O962" i="88" s="1"/>
  <c r="A963" i="88"/>
  <c r="O963" i="88" s="1"/>
  <c r="A964" i="88"/>
  <c r="O964" i="88" s="1"/>
  <c r="A965" i="88"/>
  <c r="O965" i="88" s="1"/>
  <c r="A966" i="88"/>
  <c r="O966" i="88" s="1"/>
  <c r="A967" i="88"/>
  <c r="O967" i="88" s="1"/>
  <c r="A968" i="88"/>
  <c r="O968" i="88" s="1"/>
  <c r="A969" i="88"/>
  <c r="O969" i="88" s="1"/>
  <c r="A970" i="88"/>
  <c r="O970" i="88" s="1"/>
  <c r="A971" i="88"/>
  <c r="O971" i="88" s="1"/>
  <c r="A972" i="88"/>
  <c r="O972" i="88" s="1"/>
  <c r="A973" i="88"/>
  <c r="O973" i="88" s="1"/>
  <c r="A974" i="88"/>
  <c r="O974" i="88" s="1"/>
  <c r="A975" i="88"/>
  <c r="O975" i="88" s="1"/>
  <c r="A976" i="88"/>
  <c r="O976" i="88" s="1"/>
  <c r="A977" i="88"/>
  <c r="O977" i="88" s="1"/>
  <c r="A978" i="88"/>
  <c r="O978" i="88" s="1"/>
  <c r="A979" i="88"/>
  <c r="O979" i="88" s="1"/>
  <c r="A980" i="88"/>
  <c r="O980" i="88" s="1"/>
  <c r="A981" i="88"/>
  <c r="O981" i="88" s="1"/>
  <c r="A982" i="88"/>
  <c r="O982" i="88" s="1"/>
  <c r="A983" i="88"/>
  <c r="O983" i="88" s="1"/>
  <c r="A984" i="88"/>
  <c r="O984" i="88" s="1"/>
  <c r="A985" i="88"/>
  <c r="O985" i="88" s="1"/>
  <c r="A986" i="88"/>
  <c r="O986" i="88" s="1"/>
  <c r="A987" i="88"/>
  <c r="O987" i="88" s="1"/>
  <c r="A988" i="88"/>
  <c r="O988" i="88" s="1"/>
  <c r="A989" i="88"/>
  <c r="O989" i="88" s="1"/>
  <c r="A990" i="88"/>
  <c r="O990" i="88" s="1"/>
  <c r="A991" i="88"/>
  <c r="O991" i="88" s="1"/>
  <c r="A992" i="88"/>
  <c r="O992" i="88" s="1"/>
  <c r="A993" i="88"/>
  <c r="O993" i="88" s="1"/>
  <c r="A994" i="88"/>
  <c r="O994" i="88" s="1"/>
  <c r="A995" i="88"/>
  <c r="O995" i="88" s="1"/>
  <c r="A996" i="88"/>
  <c r="O996" i="88" s="1"/>
  <c r="A997" i="88"/>
  <c r="O997" i="88" s="1"/>
  <c r="A998" i="88"/>
  <c r="O998" i="88" s="1"/>
  <c r="A999" i="88"/>
  <c r="O999" i="88" s="1"/>
  <c r="A1000" i="88"/>
  <c r="O1000" i="88" s="1"/>
  <c r="A1001" i="88"/>
  <c r="O1001" i="88" s="1"/>
  <c r="A1002" i="88"/>
  <c r="O1002" i="88" s="1"/>
  <c r="A1003" i="88"/>
  <c r="O1003" i="88" s="1"/>
  <c r="A1004" i="88"/>
  <c r="O1004" i="88" s="1"/>
  <c r="A1005" i="88"/>
  <c r="O1005" i="88" s="1"/>
  <c r="A1006" i="88"/>
  <c r="O1006" i="88" s="1"/>
  <c r="A1007" i="88"/>
  <c r="O1007" i="88" s="1"/>
  <c r="A1008" i="88"/>
  <c r="O1008" i="88" s="1"/>
  <c r="A1009" i="88"/>
  <c r="O1009" i="88" s="1"/>
  <c r="A1010" i="88"/>
  <c r="O1010" i="88" s="1"/>
  <c r="A1011" i="88"/>
  <c r="O1011" i="88" s="1"/>
  <c r="A1012" i="88"/>
  <c r="O1012" i="88" s="1"/>
  <c r="A1013" i="88"/>
  <c r="O1013" i="88" s="1"/>
  <c r="A1014" i="88"/>
  <c r="O1014" i="88" s="1"/>
  <c r="A1015" i="88"/>
  <c r="O1015" i="88" s="1"/>
  <c r="A1016" i="88"/>
  <c r="O1016" i="88" s="1"/>
  <c r="A1017" i="88"/>
  <c r="O1017" i="88" s="1"/>
  <c r="A1018" i="88"/>
  <c r="O1018" i="88" s="1"/>
  <c r="A1019" i="88"/>
  <c r="O1019" i="88" s="1"/>
  <c r="A1020" i="88"/>
  <c r="O1020" i="88" s="1"/>
  <c r="A1021" i="88"/>
  <c r="O1021" i="88" s="1"/>
  <c r="A1022" i="88"/>
  <c r="O1022" i="88" s="1"/>
  <c r="A1023" i="88"/>
  <c r="O1023" i="88" s="1"/>
  <c r="A1024" i="88"/>
  <c r="O1024" i="88" s="1"/>
  <c r="A1025" i="88"/>
  <c r="O1025" i="88" s="1"/>
  <c r="A1026" i="88"/>
  <c r="O1026" i="88" s="1"/>
  <c r="A1027" i="88"/>
  <c r="O1027" i="88" s="1"/>
  <c r="A1028" i="88"/>
  <c r="O1028" i="88" s="1"/>
  <c r="A1029" i="88"/>
  <c r="O1029" i="88" s="1"/>
  <c r="A1030" i="88"/>
  <c r="O1030" i="88" s="1"/>
  <c r="A1031" i="88"/>
  <c r="O1031" i="88" s="1"/>
  <c r="A1032" i="88"/>
  <c r="O1032" i="88" s="1"/>
  <c r="A1033" i="88"/>
  <c r="O1033" i="88" s="1"/>
  <c r="A1034" i="88"/>
  <c r="O1034" i="88" s="1"/>
  <c r="A1035" i="88"/>
  <c r="O1035" i="88" s="1"/>
  <c r="A1036" i="88"/>
  <c r="O1036" i="88" s="1"/>
  <c r="A1037" i="88"/>
  <c r="O1037" i="88" s="1"/>
  <c r="A1038" i="88"/>
  <c r="O1038" i="88" s="1"/>
  <c r="A1039" i="88"/>
  <c r="O1039" i="88" s="1"/>
  <c r="A1040" i="88"/>
  <c r="O1040" i="88" s="1"/>
  <c r="A1041" i="88"/>
  <c r="O1041" i="88" s="1"/>
  <c r="A1042" i="88"/>
  <c r="O1042" i="88" s="1"/>
  <c r="A1043" i="88"/>
  <c r="O1043" i="88" s="1"/>
  <c r="A1044" i="88"/>
  <c r="O1044" i="88" s="1"/>
  <c r="A1045" i="88"/>
  <c r="O1045" i="88" s="1"/>
  <c r="A1046" i="88"/>
  <c r="O1046" i="88" s="1"/>
  <c r="A1047" i="88"/>
  <c r="O1047" i="88" s="1"/>
  <c r="A1048" i="88"/>
  <c r="O1048" i="88" s="1"/>
  <c r="A1049" i="88"/>
  <c r="O1049" i="88" s="1"/>
  <c r="A1050" i="88"/>
  <c r="O1050" i="88" s="1"/>
  <c r="A1051" i="88"/>
  <c r="O1051" i="88" s="1"/>
  <c r="A1052" i="88"/>
  <c r="O1052" i="88" s="1"/>
  <c r="A1053" i="88"/>
  <c r="O1053" i="88" s="1"/>
  <c r="A1054" i="88"/>
  <c r="O1054" i="88" s="1"/>
  <c r="A1055" i="88"/>
  <c r="O1055" i="88" s="1"/>
  <c r="A1056" i="88"/>
  <c r="O1056" i="88" s="1"/>
  <c r="A1057" i="88"/>
  <c r="O1057" i="88" s="1"/>
  <c r="A1058" i="88"/>
  <c r="O1058" i="88" s="1"/>
  <c r="A1059" i="88"/>
  <c r="O1059" i="88" s="1"/>
  <c r="A1060" i="88"/>
  <c r="O1060" i="88" s="1"/>
  <c r="A1061" i="88"/>
  <c r="O1061" i="88" s="1"/>
  <c r="A1062" i="88"/>
  <c r="O1062" i="88" s="1"/>
  <c r="A1063" i="88"/>
  <c r="O1063" i="88" s="1"/>
  <c r="A1064" i="88"/>
  <c r="O1064" i="88" s="1"/>
  <c r="A1065" i="88"/>
  <c r="O1065" i="88" s="1"/>
  <c r="A1066" i="88"/>
  <c r="O1066" i="88" s="1"/>
  <c r="A1067" i="88"/>
  <c r="O1067" i="88" s="1"/>
  <c r="A1068" i="88"/>
  <c r="O1068" i="88" s="1"/>
  <c r="A1069" i="88"/>
  <c r="O1069" i="88" s="1"/>
  <c r="A1070" i="88"/>
  <c r="O1070" i="88" s="1"/>
  <c r="A1071" i="88"/>
  <c r="O1071" i="88" s="1"/>
  <c r="A1072" i="88"/>
  <c r="O1072" i="88" s="1"/>
  <c r="A1073" i="88"/>
  <c r="O1073" i="88" s="1"/>
  <c r="A1074" i="88"/>
  <c r="O1074" i="88" s="1"/>
  <c r="A1075" i="88"/>
  <c r="O1075" i="88" s="1"/>
  <c r="A1076" i="88"/>
  <c r="O1076" i="88" s="1"/>
  <c r="A1077" i="88"/>
  <c r="O1077" i="88" s="1"/>
  <c r="A1078" i="88"/>
  <c r="O1078" i="88" s="1"/>
  <c r="A1079" i="88"/>
  <c r="O1079" i="88" s="1"/>
  <c r="A1080" i="88"/>
  <c r="O1080" i="88" s="1"/>
  <c r="A1081" i="88"/>
  <c r="O1081" i="88" s="1"/>
  <c r="A1082" i="88"/>
  <c r="O1082" i="88" s="1"/>
  <c r="A1083" i="88"/>
  <c r="O1083" i="88" s="1"/>
  <c r="A1084" i="88"/>
  <c r="O1084" i="88" s="1"/>
  <c r="A1085" i="88"/>
  <c r="O1085" i="88" s="1"/>
  <c r="A1086" i="88"/>
  <c r="O1086" i="88" s="1"/>
  <c r="A1087" i="88"/>
  <c r="O1087" i="88" s="1"/>
  <c r="A1088" i="88"/>
  <c r="O1088" i="88" s="1"/>
  <c r="A1089" i="88"/>
  <c r="O1089" i="88" s="1"/>
  <c r="A1090" i="88"/>
  <c r="O1090" i="88" s="1"/>
  <c r="A1091" i="88"/>
  <c r="O1091" i="88" s="1"/>
  <c r="A1092" i="88"/>
  <c r="O1092" i="88" s="1"/>
  <c r="A1093" i="88"/>
  <c r="O1093" i="88" s="1"/>
  <c r="A1094" i="88"/>
  <c r="O1094" i="88" s="1"/>
  <c r="A1095" i="88"/>
  <c r="O1095" i="88" s="1"/>
  <c r="A1096" i="88"/>
  <c r="O1096" i="88" s="1"/>
  <c r="A1097" i="88"/>
  <c r="O1097" i="88" s="1"/>
  <c r="A1098" i="88"/>
  <c r="O1098" i="88" s="1"/>
  <c r="A1099" i="88"/>
  <c r="O1099" i="88" s="1"/>
  <c r="A1100" i="88"/>
  <c r="O1100" i="88" s="1"/>
  <c r="A1101" i="88"/>
  <c r="O1101" i="88" s="1"/>
  <c r="A1102" i="88"/>
  <c r="O1102" i="88" s="1"/>
  <c r="A1103" i="88"/>
  <c r="O1103" i="88" s="1"/>
  <c r="A1104" i="88"/>
  <c r="O1104" i="88" s="1"/>
  <c r="A1105" i="88"/>
  <c r="O1105" i="88" s="1"/>
  <c r="A1106" i="88"/>
  <c r="O1106" i="88" s="1"/>
  <c r="A1107" i="88"/>
  <c r="O1107" i="88" s="1"/>
  <c r="A1108" i="88"/>
  <c r="O1108" i="88" s="1"/>
  <c r="A1109" i="88"/>
  <c r="O1109" i="88" s="1"/>
  <c r="A1110" i="88"/>
  <c r="O1110" i="88" s="1"/>
  <c r="A1111" i="88"/>
  <c r="O1111" i="88" s="1"/>
  <c r="A1112" i="88"/>
  <c r="O1112" i="88" s="1"/>
  <c r="A1113" i="88"/>
  <c r="O1113" i="88" s="1"/>
  <c r="A1114" i="88"/>
  <c r="O1114" i="88" s="1"/>
  <c r="A1115" i="88"/>
  <c r="O1115" i="88" s="1"/>
  <c r="A1116" i="88"/>
  <c r="O1116" i="88" s="1"/>
  <c r="A1117" i="88"/>
  <c r="O1117" i="88" s="1"/>
  <c r="A1118" i="88"/>
  <c r="O1118" i="88" s="1"/>
  <c r="A1119" i="88"/>
  <c r="O1119" i="88" s="1"/>
  <c r="A1120" i="88"/>
  <c r="O1120" i="88" s="1"/>
  <c r="A1121" i="88"/>
  <c r="O1121" i="88" s="1"/>
  <c r="A1122" i="88"/>
  <c r="O1122" i="88" s="1"/>
  <c r="A1123" i="88"/>
  <c r="O1123" i="88" s="1"/>
  <c r="A1124" i="88"/>
  <c r="O1124" i="88" s="1"/>
  <c r="A1125" i="88"/>
  <c r="O1125" i="88" s="1"/>
  <c r="A1126" i="88"/>
  <c r="O1126" i="88" s="1"/>
  <c r="A1127" i="88"/>
  <c r="O1127" i="88" s="1"/>
  <c r="A1128" i="88"/>
  <c r="O1128" i="88" s="1"/>
  <c r="A1129" i="88"/>
  <c r="O1129" i="88" s="1"/>
  <c r="A1130" i="88"/>
  <c r="O1130" i="88" s="1"/>
  <c r="A1131" i="88"/>
  <c r="O1131" i="88" s="1"/>
  <c r="A1132" i="88"/>
  <c r="O1132" i="88" s="1"/>
  <c r="A1133" i="88"/>
  <c r="O1133" i="88" s="1"/>
  <c r="A1134" i="88"/>
  <c r="O1134" i="88" s="1"/>
  <c r="A1135" i="88"/>
  <c r="O1135" i="88" s="1"/>
  <c r="A1136" i="88"/>
  <c r="O1136" i="88" s="1"/>
  <c r="A1137" i="88"/>
  <c r="O1137" i="88" s="1"/>
  <c r="A1138" i="88"/>
  <c r="O1138" i="88" s="1"/>
  <c r="A1139" i="88"/>
  <c r="O1139" i="88" s="1"/>
  <c r="A1140" i="88"/>
  <c r="O1140" i="88" s="1"/>
  <c r="A1141" i="88"/>
  <c r="O1141" i="88" s="1"/>
  <c r="A1142" i="88"/>
  <c r="O1142" i="88" s="1"/>
  <c r="A1143" i="88"/>
  <c r="O1143" i="88" s="1"/>
  <c r="A1144" i="88"/>
  <c r="O1144" i="88" s="1"/>
  <c r="A1145" i="88"/>
  <c r="O1145" i="88" s="1"/>
  <c r="A1146" i="88"/>
  <c r="O1146" i="88" s="1"/>
  <c r="A1147" i="88"/>
  <c r="O1147" i="88" s="1"/>
  <c r="A1148" i="88"/>
  <c r="O1148" i="88" s="1"/>
  <c r="A1149" i="88"/>
  <c r="O1149" i="88" s="1"/>
  <c r="A1150" i="88"/>
  <c r="O1150" i="88" s="1"/>
  <c r="A1151" i="88"/>
  <c r="O1151" i="88" s="1"/>
  <c r="A1152" i="88"/>
  <c r="O1152" i="88" s="1"/>
  <c r="A1153" i="88"/>
  <c r="O1153" i="88" s="1"/>
  <c r="A1154" i="88"/>
  <c r="O1154" i="88" s="1"/>
  <c r="A1155" i="88"/>
  <c r="O1155" i="88" s="1"/>
  <c r="A1156" i="88"/>
  <c r="O1156" i="88" s="1"/>
  <c r="A1157" i="88"/>
  <c r="O1157" i="88" s="1"/>
  <c r="A1158" i="88"/>
  <c r="O1158" i="88" s="1"/>
  <c r="A1159" i="88"/>
  <c r="O1159" i="88" s="1"/>
  <c r="A1160" i="88"/>
  <c r="O1160" i="88" s="1"/>
  <c r="A1161" i="88"/>
  <c r="O1161" i="88" s="1"/>
  <c r="A1162" i="88"/>
  <c r="O1162" i="88" s="1"/>
  <c r="A1163" i="88"/>
  <c r="O1163" i="88" s="1"/>
  <c r="A1164" i="88"/>
  <c r="O1164" i="88" s="1"/>
  <c r="A1165" i="88"/>
  <c r="O1165" i="88" s="1"/>
  <c r="A1166" i="88"/>
  <c r="O1166" i="88" s="1"/>
  <c r="A1167" i="88"/>
  <c r="O1167" i="88" s="1"/>
  <c r="A1168" i="88"/>
  <c r="O1168" i="88" s="1"/>
  <c r="A1169" i="88"/>
  <c r="O1169" i="88" s="1"/>
  <c r="A1170" i="88"/>
  <c r="O1170" i="88" s="1"/>
  <c r="A1171" i="88"/>
  <c r="O1171" i="88" s="1"/>
  <c r="A1172" i="88"/>
  <c r="O1172" i="88" s="1"/>
  <c r="A1173" i="88"/>
  <c r="O1173" i="88" s="1"/>
  <c r="A1174" i="88"/>
  <c r="O1174" i="88" s="1"/>
  <c r="A1175" i="88"/>
  <c r="O1175" i="88" s="1"/>
  <c r="A1176" i="88"/>
  <c r="O1176" i="88" s="1"/>
  <c r="A1177" i="88"/>
  <c r="O1177" i="88" s="1"/>
  <c r="A1178" i="88"/>
  <c r="O1178" i="88" s="1"/>
  <c r="A1179" i="88"/>
  <c r="O1179" i="88" s="1"/>
  <c r="A1180" i="88"/>
  <c r="O1180" i="88" s="1"/>
  <c r="A1181" i="88"/>
  <c r="O1181" i="88" s="1"/>
  <c r="A1182" i="88"/>
  <c r="O1182" i="88" s="1"/>
  <c r="A1183" i="88"/>
  <c r="O1183" i="88" s="1"/>
  <c r="A1184" i="88"/>
  <c r="O1184" i="88" s="1"/>
  <c r="A1185" i="88"/>
  <c r="O1185" i="88" s="1"/>
  <c r="A1186" i="88"/>
  <c r="O1186" i="88" s="1"/>
  <c r="A1187" i="88"/>
  <c r="O1187" i="88" s="1"/>
  <c r="A1188" i="88"/>
  <c r="O1188" i="88" s="1"/>
  <c r="A1189" i="88"/>
  <c r="O1189" i="88" s="1"/>
  <c r="A1190" i="88"/>
  <c r="O1190" i="88" s="1"/>
  <c r="A1191" i="88"/>
  <c r="O1191" i="88" s="1"/>
  <c r="A1192" i="88"/>
  <c r="O1192" i="88" s="1"/>
  <c r="A1193" i="88"/>
  <c r="O1193" i="88" s="1"/>
  <c r="A1194" i="88"/>
  <c r="O1194" i="88" s="1"/>
  <c r="A1195" i="88"/>
  <c r="O1195" i="88" s="1"/>
  <c r="A1196" i="88"/>
  <c r="O1196" i="88" s="1"/>
  <c r="A1197" i="88"/>
  <c r="O1197" i="88" s="1"/>
  <c r="A1198" i="88"/>
  <c r="O1198" i="88" s="1"/>
  <c r="A1199" i="88"/>
  <c r="O1199" i="88" s="1"/>
  <c r="A1200" i="88"/>
  <c r="O1200" i="88" s="1"/>
  <c r="A1201" i="88"/>
  <c r="O1201" i="88" s="1"/>
  <c r="A1202" i="88"/>
  <c r="O1202" i="88" s="1"/>
  <c r="A1203" i="88"/>
  <c r="O1203" i="88" s="1"/>
  <c r="A1204" i="88"/>
  <c r="O1204" i="88" s="1"/>
  <c r="A1205" i="88"/>
  <c r="O1205" i="88" s="1"/>
  <c r="A1206" i="88"/>
  <c r="O1206" i="88" s="1"/>
  <c r="A1207" i="88"/>
  <c r="O1207" i="88" s="1"/>
  <c r="A1208" i="88"/>
  <c r="O1208" i="88" s="1"/>
  <c r="A1209" i="88"/>
  <c r="O1209" i="88" s="1"/>
  <c r="A1210" i="88"/>
  <c r="O1210" i="88" s="1"/>
  <c r="A1211" i="88"/>
  <c r="O1211" i="88" s="1"/>
  <c r="A1212" i="88"/>
  <c r="O1212" i="88" s="1"/>
  <c r="A1213" i="88"/>
  <c r="O1213" i="88" s="1"/>
  <c r="A1214" i="88"/>
  <c r="O1214" i="88" s="1"/>
  <c r="A1215" i="88"/>
  <c r="O1215" i="88" s="1"/>
  <c r="A1216" i="88"/>
  <c r="O1216" i="88" s="1"/>
  <c r="A1217" i="88"/>
  <c r="O1217" i="88" s="1"/>
  <c r="A1218" i="88"/>
  <c r="O1218" i="88" s="1"/>
  <c r="A1219" i="88"/>
  <c r="O1219" i="88" s="1"/>
  <c r="A1220" i="88"/>
  <c r="O1220" i="88" s="1"/>
  <c r="A1221" i="88"/>
  <c r="O1221" i="88" s="1"/>
  <c r="A1222" i="88"/>
  <c r="O1222" i="88" s="1"/>
  <c r="A1223" i="88"/>
  <c r="O1223" i="88" s="1"/>
  <c r="A1224" i="88"/>
  <c r="O1224" i="88" s="1"/>
  <c r="A1225" i="88"/>
  <c r="O1225" i="88" s="1"/>
  <c r="A1226" i="88"/>
  <c r="O1226" i="88" s="1"/>
  <c r="A1227" i="88"/>
  <c r="O1227" i="88" s="1"/>
  <c r="A1228" i="88"/>
  <c r="O1228" i="88" s="1"/>
  <c r="A1229" i="88"/>
  <c r="O1229" i="88" s="1"/>
  <c r="A1230" i="88"/>
  <c r="O1230" i="88" s="1"/>
  <c r="A1231" i="88"/>
  <c r="O1231" i="88" s="1"/>
  <c r="A1232" i="88"/>
  <c r="O1232" i="88" s="1"/>
  <c r="A1233" i="88"/>
  <c r="O1233" i="88" s="1"/>
  <c r="A1234" i="88"/>
  <c r="O1234" i="88" s="1"/>
  <c r="A1235" i="88"/>
  <c r="O1235" i="88" s="1"/>
  <c r="A1236" i="88"/>
  <c r="O1236" i="88" s="1"/>
  <c r="A1237" i="88"/>
  <c r="O1237" i="88" s="1"/>
  <c r="A1238" i="88"/>
  <c r="O1238" i="88" s="1"/>
  <c r="A1239" i="88"/>
  <c r="O1239" i="88" s="1"/>
  <c r="A1240" i="88"/>
  <c r="O1240" i="88" s="1"/>
  <c r="A1241" i="88"/>
  <c r="O1241" i="88" s="1"/>
  <c r="A1242" i="88"/>
  <c r="O1242" i="88" s="1"/>
  <c r="A1243" i="88"/>
  <c r="O1243" i="88" s="1"/>
  <c r="A1244" i="88"/>
  <c r="O1244" i="88" s="1"/>
  <c r="A1245" i="88"/>
  <c r="O1245" i="88" s="1"/>
  <c r="A1246" i="88"/>
  <c r="O1246" i="88" s="1"/>
  <c r="A1247" i="88"/>
  <c r="O1247" i="88" s="1"/>
  <c r="A1248" i="88"/>
  <c r="O1248" i="88" s="1"/>
  <c r="A1249" i="88"/>
  <c r="O1249" i="88" s="1"/>
  <c r="A1250" i="88"/>
  <c r="O1250" i="88" s="1"/>
  <c r="A1251" i="88"/>
  <c r="O1251" i="88" s="1"/>
  <c r="A1252" i="88"/>
  <c r="O1252" i="88" s="1"/>
  <c r="A1253" i="88"/>
  <c r="O1253" i="88" s="1"/>
  <c r="A1254" i="88"/>
  <c r="O1254" i="88" s="1"/>
  <c r="A1255" i="88"/>
  <c r="O1255" i="88" s="1"/>
  <c r="A1256" i="88"/>
  <c r="O1256" i="88" s="1"/>
  <c r="A1257" i="88"/>
  <c r="O1257" i="88" s="1"/>
  <c r="A1258" i="88"/>
  <c r="O1258" i="88" s="1"/>
  <c r="A1259" i="88"/>
  <c r="O1259" i="88" s="1"/>
  <c r="A1260" i="88"/>
  <c r="O1260" i="88" s="1"/>
  <c r="A1261" i="88"/>
  <c r="O1261" i="88" s="1"/>
  <c r="A1262" i="88"/>
  <c r="O1262" i="88" s="1"/>
  <c r="A1263" i="88"/>
  <c r="O1263" i="88" s="1"/>
  <c r="A1264" i="88"/>
  <c r="O1264" i="88" s="1"/>
  <c r="A1265" i="88"/>
  <c r="O1265" i="88" s="1"/>
  <c r="A1266" i="88"/>
  <c r="O1266" i="88" s="1"/>
  <c r="A1267" i="88"/>
  <c r="O1267" i="88" s="1"/>
  <c r="A1268" i="88"/>
  <c r="O1268" i="88" s="1"/>
  <c r="A1269" i="88"/>
  <c r="O1269" i="88" s="1"/>
  <c r="A1270" i="88"/>
  <c r="O1270" i="88" s="1"/>
  <c r="A1271" i="88"/>
  <c r="O1271" i="88" s="1"/>
  <c r="A1272" i="88"/>
  <c r="O1272" i="88" s="1"/>
  <c r="A1273" i="88"/>
  <c r="O1273" i="88" s="1"/>
  <c r="A1274" i="88"/>
  <c r="O1274" i="88" s="1"/>
  <c r="A1275" i="88"/>
  <c r="O1275" i="88" s="1"/>
  <c r="A1276" i="88"/>
  <c r="O1276" i="88" s="1"/>
  <c r="A1277" i="88"/>
  <c r="O1277" i="88" s="1"/>
  <c r="A1278" i="88"/>
  <c r="O1278" i="88" s="1"/>
  <c r="A1279" i="88"/>
  <c r="O1279" i="88" s="1"/>
  <c r="A1280" i="88"/>
  <c r="O1280" i="88" s="1"/>
  <c r="A1281" i="88"/>
  <c r="O1281" i="88" s="1"/>
  <c r="A1282" i="88"/>
  <c r="O1282" i="88" s="1"/>
  <c r="A1283" i="88"/>
  <c r="O1283" i="88" s="1"/>
  <c r="A1284" i="88"/>
  <c r="O1284" i="88" s="1"/>
  <c r="A1285" i="88"/>
  <c r="O1285" i="88" s="1"/>
  <c r="A1286" i="88"/>
  <c r="O1286" i="88" s="1"/>
  <c r="A1287" i="88"/>
  <c r="O1287" i="88" s="1"/>
  <c r="A1288" i="88"/>
  <c r="O1288" i="88" s="1"/>
  <c r="A1289" i="88"/>
  <c r="O1289" i="88" s="1"/>
  <c r="A1290" i="88"/>
  <c r="O1290" i="88" s="1"/>
  <c r="A1291" i="88"/>
  <c r="O1291" i="88" s="1"/>
  <c r="A1292" i="88"/>
  <c r="O1292" i="88" s="1"/>
  <c r="A1293" i="88"/>
  <c r="O1293" i="88" s="1"/>
  <c r="A1294" i="88"/>
  <c r="O1294" i="88" s="1"/>
  <c r="A1295" i="88"/>
  <c r="O1295" i="88" s="1"/>
  <c r="A1296" i="88"/>
  <c r="O1296" i="88" s="1"/>
  <c r="A1297" i="88"/>
  <c r="O1297" i="88" s="1"/>
  <c r="A1298" i="88"/>
  <c r="O1298" i="88" s="1"/>
  <c r="A1299" i="88"/>
  <c r="O1299" i="88" s="1"/>
  <c r="A1300" i="88"/>
  <c r="O1300" i="88" s="1"/>
  <c r="A1301" i="88"/>
  <c r="O1301" i="88" s="1"/>
  <c r="A1302" i="88"/>
  <c r="O1302" i="88" s="1"/>
  <c r="A1303" i="88"/>
  <c r="O1303" i="88" s="1"/>
  <c r="A1304" i="88"/>
  <c r="O1304" i="88" s="1"/>
  <c r="A1305" i="88"/>
  <c r="O1305" i="88" s="1"/>
  <c r="A1306" i="88"/>
  <c r="O1306" i="88" s="1"/>
  <c r="A1307" i="88"/>
  <c r="O1307" i="88" s="1"/>
  <c r="A1308" i="88"/>
  <c r="O1308" i="88" s="1"/>
  <c r="A1309" i="88"/>
  <c r="O1309" i="88" s="1"/>
  <c r="A1310" i="88"/>
  <c r="O1310" i="88" s="1"/>
  <c r="A1311" i="88"/>
  <c r="O1311" i="88" s="1"/>
  <c r="A1312" i="88"/>
  <c r="O1312" i="88" s="1"/>
  <c r="A1313" i="88"/>
  <c r="O1313" i="88" s="1"/>
  <c r="A1314" i="88"/>
  <c r="O1314" i="88" s="1"/>
  <c r="A1315" i="88"/>
  <c r="O1315" i="88" s="1"/>
  <c r="A1316" i="88"/>
  <c r="O1316" i="88" s="1"/>
  <c r="A1317" i="88"/>
  <c r="O1317" i="88" s="1"/>
  <c r="A1318" i="88"/>
  <c r="O1318" i="88" s="1"/>
  <c r="A1319" i="88"/>
  <c r="O1319" i="88" s="1"/>
  <c r="A1320" i="88"/>
  <c r="O1320" i="88" s="1"/>
  <c r="A1321" i="88"/>
  <c r="O1321" i="88" s="1"/>
  <c r="A1322" i="88"/>
  <c r="O1322" i="88" s="1"/>
  <c r="A1323" i="88"/>
  <c r="O1323" i="88" s="1"/>
  <c r="A1324" i="88"/>
  <c r="O1324" i="88" s="1"/>
  <c r="A1325" i="88"/>
  <c r="O1325" i="88" s="1"/>
  <c r="A1326" i="88"/>
  <c r="O1326" i="88" s="1"/>
  <c r="A1327" i="88"/>
  <c r="O1327" i="88" s="1"/>
  <c r="A1328" i="88"/>
  <c r="O1328" i="88" s="1"/>
  <c r="A1329" i="88"/>
  <c r="O1329" i="88" s="1"/>
  <c r="A1330" i="88"/>
  <c r="O1330" i="88" s="1"/>
  <c r="A1331" i="88"/>
  <c r="O1331" i="88" s="1"/>
  <c r="A1332" i="88"/>
  <c r="O1332" i="88" s="1"/>
  <c r="A1333" i="88"/>
  <c r="O1333" i="88" s="1"/>
  <c r="A1334" i="88"/>
  <c r="O1334" i="88" s="1"/>
  <c r="A1335" i="88"/>
  <c r="O1335" i="88" s="1"/>
  <c r="A1336" i="88"/>
  <c r="O1336" i="88" s="1"/>
  <c r="A1337" i="88"/>
  <c r="O1337" i="88" s="1"/>
  <c r="A1338" i="88"/>
  <c r="O1338" i="88" s="1"/>
  <c r="A1339" i="88"/>
  <c r="O1339" i="88" s="1"/>
  <c r="A1340" i="88"/>
  <c r="O1340" i="88" s="1"/>
  <c r="A1341" i="88"/>
  <c r="O1341" i="88" s="1"/>
  <c r="A1342" i="88"/>
  <c r="O1342" i="88" s="1"/>
  <c r="A1343" i="88"/>
  <c r="O1343" i="88" s="1"/>
  <c r="A1344" i="88"/>
  <c r="O1344" i="88" s="1"/>
  <c r="A1345" i="88"/>
  <c r="O1345" i="88" s="1"/>
  <c r="A1346" i="88"/>
  <c r="O1346" i="88" s="1"/>
  <c r="A1347" i="88"/>
  <c r="O1347" i="88" s="1"/>
  <c r="A1348" i="88"/>
  <c r="O1348" i="88" s="1"/>
  <c r="A1349" i="88"/>
  <c r="O1349" i="88" s="1"/>
  <c r="A1350" i="88"/>
  <c r="O1350" i="88" s="1"/>
  <c r="A1351" i="88"/>
  <c r="O1351" i="88" s="1"/>
  <c r="A1352" i="88"/>
  <c r="O1352" i="88" s="1"/>
  <c r="A1353" i="88"/>
  <c r="O1353" i="88" s="1"/>
  <c r="A1354" i="88"/>
  <c r="O1354" i="88" s="1"/>
  <c r="A1355" i="88"/>
  <c r="O1355" i="88" s="1"/>
  <c r="A1356" i="88"/>
  <c r="O1356" i="88" s="1"/>
  <c r="A1357" i="88"/>
  <c r="O1357" i="88" s="1"/>
  <c r="A1358" i="88"/>
  <c r="O1358" i="88" s="1"/>
  <c r="A1359" i="88"/>
  <c r="O1359" i="88" s="1"/>
  <c r="A1360" i="88"/>
  <c r="O1360" i="88" s="1"/>
  <c r="A1361" i="88"/>
  <c r="O1361" i="88" s="1"/>
  <c r="A1362" i="88"/>
  <c r="O1362" i="88" s="1"/>
  <c r="A1363" i="88"/>
  <c r="O1363" i="88" s="1"/>
  <c r="A1364" i="88"/>
  <c r="O1364" i="88" s="1"/>
  <c r="A1365" i="88"/>
  <c r="O1365" i="88" s="1"/>
  <c r="A1366" i="88"/>
  <c r="O1366" i="88" s="1"/>
  <c r="A1367" i="88"/>
  <c r="O1367" i="88" s="1"/>
  <c r="A1368" i="88"/>
  <c r="O1368" i="88" s="1"/>
  <c r="A1369" i="88"/>
  <c r="O1369" i="88" s="1"/>
  <c r="A1370" i="88"/>
  <c r="O1370" i="88" s="1"/>
  <c r="A1371" i="88"/>
  <c r="O1371" i="88" s="1"/>
  <c r="A1372" i="88"/>
  <c r="O1372" i="88" s="1"/>
  <c r="A1373" i="88"/>
  <c r="O1373" i="88" s="1"/>
  <c r="A1374" i="88"/>
  <c r="O1374" i="88" s="1"/>
  <c r="A1375" i="88"/>
  <c r="O1375" i="88" s="1"/>
  <c r="A1376" i="88"/>
  <c r="O1376" i="88" s="1"/>
  <c r="A1377" i="88"/>
  <c r="O1377" i="88" s="1"/>
  <c r="A1378" i="88"/>
  <c r="O1378" i="88" s="1"/>
  <c r="A1379" i="88"/>
  <c r="O1379" i="88" s="1"/>
  <c r="A1380" i="88"/>
  <c r="O1380" i="88" s="1"/>
  <c r="A1381" i="88"/>
  <c r="O1381" i="88" s="1"/>
  <c r="A1382" i="88"/>
  <c r="O1382" i="88" s="1"/>
  <c r="A1383" i="88"/>
  <c r="O1383" i="88" s="1"/>
  <c r="A1384" i="88"/>
  <c r="O1384" i="88" s="1"/>
  <c r="A1385" i="88"/>
  <c r="O1385" i="88" s="1"/>
  <c r="A1386" i="88"/>
  <c r="O1386" i="88" s="1"/>
  <c r="A1387" i="88"/>
  <c r="O1387" i="88" s="1"/>
  <c r="A1388" i="88"/>
  <c r="O1388" i="88" s="1"/>
  <c r="A1389" i="88"/>
  <c r="O1389" i="88" s="1"/>
  <c r="A1390" i="88"/>
  <c r="O1390" i="88" s="1"/>
  <c r="A1391" i="88"/>
  <c r="O1391" i="88" s="1"/>
  <c r="A1392" i="88"/>
  <c r="O1392" i="88" s="1"/>
  <c r="A1393" i="88"/>
  <c r="O1393" i="88" s="1"/>
  <c r="A1394" i="88"/>
  <c r="O1394" i="88" s="1"/>
  <c r="A1395" i="88"/>
  <c r="O1395" i="88" s="1"/>
  <c r="A1396" i="88"/>
  <c r="O1396" i="88" s="1"/>
  <c r="A1397" i="88"/>
  <c r="O1397" i="88" s="1"/>
  <c r="A1398" i="88"/>
  <c r="O1398" i="88" s="1"/>
  <c r="A1399" i="88"/>
  <c r="O1399" i="88" s="1"/>
  <c r="A1400" i="88"/>
  <c r="O1400" i="88" s="1"/>
  <c r="A1401" i="88"/>
  <c r="O1401" i="88" s="1"/>
  <c r="A1402" i="88"/>
  <c r="O1402" i="88" s="1"/>
  <c r="A1403" i="88"/>
  <c r="O1403" i="88" s="1"/>
  <c r="A1404" i="88"/>
  <c r="O1404" i="88" s="1"/>
  <c r="A1405" i="88"/>
  <c r="O1405" i="88" s="1"/>
  <c r="A1406" i="88"/>
  <c r="O1406" i="88" s="1"/>
  <c r="A1407" i="88"/>
  <c r="O1407" i="88" s="1"/>
  <c r="A1408" i="88"/>
  <c r="O1408" i="88" s="1"/>
  <c r="A1409" i="88"/>
  <c r="O1409" i="88" s="1"/>
  <c r="A1410" i="88"/>
  <c r="O1410" i="88" s="1"/>
  <c r="A1411" i="88"/>
  <c r="O1411" i="88" s="1"/>
  <c r="A1412" i="88"/>
  <c r="O1412" i="88" s="1"/>
  <c r="A1413" i="88"/>
  <c r="O1413" i="88" s="1"/>
  <c r="A1414" i="88"/>
  <c r="O1414" i="88" s="1"/>
  <c r="A1415" i="88"/>
  <c r="O1415" i="88" s="1"/>
  <c r="A1416" i="88"/>
  <c r="O1416" i="88" s="1"/>
  <c r="A1417" i="88"/>
  <c r="O1417" i="88" s="1"/>
  <c r="A1418" i="88"/>
  <c r="O1418" i="88" s="1"/>
  <c r="A1419" i="88"/>
  <c r="O1419" i="88" s="1"/>
  <c r="A1420" i="88"/>
  <c r="O1420" i="88" s="1"/>
  <c r="A1421" i="88"/>
  <c r="O1421" i="88" s="1"/>
  <c r="A1422" i="88"/>
  <c r="O1422" i="88" s="1"/>
  <c r="A1423" i="88"/>
  <c r="O1423" i="88" s="1"/>
  <c r="A1424" i="88"/>
  <c r="O1424" i="88" s="1"/>
  <c r="A1425" i="88"/>
  <c r="O1425" i="88" s="1"/>
  <c r="A1426" i="88"/>
  <c r="O1426" i="88" s="1"/>
  <c r="A1427" i="88"/>
  <c r="O1427" i="88" s="1"/>
  <c r="A1428" i="88"/>
  <c r="O1428" i="88" s="1"/>
  <c r="A1429" i="88"/>
  <c r="O1429" i="88" s="1"/>
  <c r="A1430" i="88"/>
  <c r="O1430" i="88" s="1"/>
  <c r="A1431" i="88"/>
  <c r="O1431" i="88" s="1"/>
  <c r="A1432" i="88"/>
  <c r="O1432" i="88" s="1"/>
  <c r="A1433" i="88"/>
  <c r="O1433" i="88" s="1"/>
  <c r="A1434" i="88"/>
  <c r="O1434" i="88" s="1"/>
  <c r="A1435" i="88"/>
  <c r="O1435" i="88" s="1"/>
  <c r="A1436" i="88"/>
  <c r="O1436" i="88" s="1"/>
  <c r="A1437" i="88"/>
  <c r="O1437" i="88" s="1"/>
  <c r="A1438" i="88"/>
  <c r="O1438" i="88" s="1"/>
  <c r="A1439" i="88"/>
  <c r="O1439" i="88" s="1"/>
  <c r="A1440" i="88"/>
  <c r="O1440" i="88" s="1"/>
  <c r="A1441" i="88"/>
  <c r="O1441" i="88" s="1"/>
  <c r="A1442" i="88"/>
  <c r="O1442" i="88" s="1"/>
  <c r="A1443" i="88"/>
  <c r="O1443" i="88" s="1"/>
  <c r="A1444" i="88"/>
  <c r="O1444" i="88" s="1"/>
  <c r="A1445" i="88"/>
  <c r="O1445" i="88" s="1"/>
  <c r="A1446" i="88"/>
  <c r="O1446" i="88" s="1"/>
  <c r="A1447" i="88"/>
  <c r="O1447" i="88" s="1"/>
  <c r="N511" i="88"/>
  <c r="N292" i="88"/>
  <c r="N291" i="88"/>
  <c r="N290" i="88"/>
  <c r="N289" i="88"/>
  <c r="N288" i="88"/>
  <c r="N287" i="88"/>
  <c r="N286" i="88"/>
  <c r="N285" i="88"/>
  <c r="N284" i="88"/>
  <c r="N283" i="88"/>
  <c r="N282" i="88"/>
  <c r="N281" i="88"/>
  <c r="N280" i="88"/>
  <c r="N279" i="88"/>
  <c r="N278" i="88"/>
  <c r="N277" i="88"/>
  <c r="N276" i="88"/>
  <c r="N275" i="88"/>
  <c r="N316" i="88"/>
  <c r="L316" i="88"/>
  <c r="N317" i="88"/>
  <c r="L317" i="88"/>
  <c r="N315" i="88"/>
  <c r="L315" i="88"/>
  <c r="N314" i="88"/>
  <c r="L314" i="88"/>
  <c r="N313" i="88"/>
  <c r="L313" i="88"/>
  <c r="N312" i="88"/>
  <c r="L312" i="88"/>
  <c r="N311" i="88"/>
  <c r="L311" i="88"/>
  <c r="N310" i="88"/>
  <c r="L310" i="88"/>
  <c r="N309" i="88"/>
  <c r="L309" i="88"/>
  <c r="N308" i="88"/>
  <c r="L308" i="88"/>
  <c r="N307" i="88"/>
  <c r="L307" i="88"/>
  <c r="N306" i="88"/>
  <c r="L306" i="88"/>
  <c r="N305" i="88"/>
  <c r="L305" i="88"/>
  <c r="N304" i="88"/>
  <c r="L304" i="88"/>
  <c r="N303" i="88"/>
  <c r="L303" i="88"/>
  <c r="N302" i="88"/>
  <c r="L302" i="88"/>
  <c r="N301" i="88"/>
  <c r="L301" i="88"/>
  <c r="N300" i="88"/>
  <c r="L300" i="88"/>
  <c r="N299" i="88"/>
  <c r="L299" i="88"/>
  <c r="N298" i="88"/>
  <c r="L298" i="88"/>
  <c r="N297" i="88"/>
  <c r="L297" i="88"/>
  <c r="N296" i="88"/>
  <c r="L296" i="88"/>
  <c r="N295" i="88"/>
  <c r="L295" i="88"/>
  <c r="N294" i="88"/>
  <c r="L294" i="88"/>
  <c r="N293" i="88"/>
  <c r="L293" i="88"/>
  <c r="N526" i="88"/>
  <c r="L526" i="88"/>
  <c r="N525" i="88"/>
  <c r="L525" i="88"/>
  <c r="N519" i="88"/>
  <c r="L519" i="88"/>
  <c r="N524" i="88"/>
  <c r="L524" i="88"/>
  <c r="N523" i="88"/>
  <c r="L523" i="88"/>
  <c r="N522" i="88"/>
  <c r="L522" i="88"/>
  <c r="N520" i="88"/>
  <c r="L520" i="88"/>
  <c r="N521" i="88"/>
  <c r="L521" i="88"/>
  <c r="N202" i="88"/>
  <c r="L202" i="88"/>
  <c r="N201" i="88"/>
  <c r="L201" i="88"/>
  <c r="N200" i="88"/>
  <c r="L200" i="88"/>
  <c r="N226" i="88"/>
  <c r="L226" i="88"/>
  <c r="N224" i="88"/>
  <c r="L224" i="88"/>
  <c r="N634" i="88" l="1"/>
  <c r="I55" i="70" l="1"/>
  <c r="G55" i="70"/>
  <c r="I54" i="70"/>
  <c r="G54" i="70"/>
  <c r="I53" i="70"/>
  <c r="G53" i="70"/>
  <c r="I52" i="70"/>
  <c r="G52" i="70"/>
  <c r="I51" i="70"/>
  <c r="G51" i="70"/>
  <c r="I50" i="70"/>
  <c r="G50" i="70"/>
  <c r="I49" i="70"/>
  <c r="G49" i="70"/>
  <c r="I48" i="70"/>
  <c r="G48" i="70"/>
  <c r="I47" i="70"/>
  <c r="G47" i="70"/>
  <c r="I46" i="70"/>
  <c r="G46" i="70"/>
  <c r="I45" i="70"/>
  <c r="G45" i="70"/>
  <c r="I44" i="70"/>
  <c r="G44" i="70"/>
  <c r="I43" i="70"/>
  <c r="G43" i="70"/>
  <c r="I42" i="70"/>
  <c r="G42" i="70"/>
  <c r="I41" i="70"/>
  <c r="G41" i="70"/>
  <c r="I40" i="70"/>
  <c r="G40" i="70"/>
  <c r="I39" i="70"/>
  <c r="G39" i="70"/>
  <c r="I38" i="70"/>
  <c r="G38" i="70"/>
  <c r="I37" i="70"/>
  <c r="G37" i="70"/>
  <c r="I36" i="70"/>
  <c r="G36" i="70"/>
  <c r="I35" i="70"/>
  <c r="G35" i="70"/>
  <c r="I34" i="70"/>
  <c r="G34" i="70"/>
  <c r="J33" i="70"/>
  <c r="I33" i="70"/>
  <c r="H33" i="70"/>
  <c r="G33" i="70"/>
  <c r="I32" i="70"/>
  <c r="G32" i="70"/>
  <c r="J31" i="70"/>
  <c r="I31" i="70"/>
  <c r="H31" i="70"/>
  <c r="G31" i="70"/>
  <c r="J30" i="70"/>
  <c r="I30" i="70"/>
  <c r="H30" i="70"/>
  <c r="G30" i="70"/>
  <c r="J29" i="70"/>
  <c r="I29" i="70"/>
  <c r="H29" i="70"/>
  <c r="G29" i="70"/>
  <c r="I28" i="70"/>
  <c r="G28" i="70"/>
  <c r="I27" i="70"/>
  <c r="G27" i="70"/>
  <c r="I26" i="70"/>
  <c r="G26" i="70"/>
  <c r="N730" i="88"/>
  <c r="L730" i="88"/>
  <c r="V198" i="90"/>
  <c r="L749" i="88"/>
  <c r="N749" i="88"/>
  <c r="L750" i="88"/>
  <c r="N750" i="88"/>
  <c r="L751" i="88"/>
  <c r="N751" i="88"/>
  <c r="L752" i="88"/>
  <c r="N752" i="88"/>
  <c r="L753" i="88"/>
  <c r="N753" i="88"/>
  <c r="L754" i="88"/>
  <c r="N754" i="88"/>
  <c r="L755" i="88"/>
  <c r="N755" i="88"/>
  <c r="L756" i="88"/>
  <c r="N756" i="88"/>
  <c r="L757" i="88"/>
  <c r="N757" i="88"/>
  <c r="L758" i="88"/>
  <c r="N758" i="88"/>
  <c r="L759" i="88"/>
  <c r="N759" i="88"/>
  <c r="L760" i="88"/>
  <c r="N760" i="88"/>
  <c r="L761" i="88"/>
  <c r="N761" i="88"/>
  <c r="L762" i="88"/>
  <c r="N762" i="88"/>
  <c r="L763" i="88"/>
  <c r="N763" i="88"/>
  <c r="L764" i="88"/>
  <c r="N764" i="88"/>
  <c r="L765" i="88"/>
  <c r="N765" i="88"/>
  <c r="L766" i="88"/>
  <c r="N766" i="88"/>
  <c r="L767" i="88"/>
  <c r="N767" i="88"/>
  <c r="L768" i="88"/>
  <c r="N768" i="88"/>
  <c r="L769" i="88"/>
  <c r="N769" i="88"/>
  <c r="L770" i="88"/>
  <c r="N770" i="88"/>
  <c r="L771" i="88"/>
  <c r="N771" i="88"/>
  <c r="L772" i="88"/>
  <c r="N772" i="88"/>
  <c r="L773" i="88"/>
  <c r="N773" i="88"/>
  <c r="L774" i="88"/>
  <c r="N774" i="88"/>
  <c r="L775" i="88"/>
  <c r="N775" i="88"/>
  <c r="L776" i="88"/>
  <c r="N776" i="88"/>
  <c r="L777" i="88"/>
  <c r="N777" i="88"/>
  <c r="L778" i="88"/>
  <c r="N778" i="88"/>
  <c r="L783" i="88"/>
  <c r="N783" i="88"/>
  <c r="L784" i="88"/>
  <c r="N784" i="88"/>
  <c r="L785" i="88"/>
  <c r="N785" i="88"/>
  <c r="L786" i="88"/>
  <c r="N786" i="88"/>
  <c r="L787" i="88"/>
  <c r="N787" i="88"/>
  <c r="L788" i="88"/>
  <c r="N788" i="88"/>
  <c r="L789" i="88"/>
  <c r="N789" i="88"/>
  <c r="L790" i="88"/>
  <c r="N790" i="88"/>
  <c r="L791" i="88"/>
  <c r="N791" i="88"/>
  <c r="L792" i="88"/>
  <c r="N792" i="88"/>
  <c r="L793" i="88"/>
  <c r="N793" i="88"/>
  <c r="L794" i="88"/>
  <c r="N794" i="88"/>
  <c r="L795" i="88"/>
  <c r="N795" i="88"/>
  <c r="L796" i="88"/>
  <c r="N796" i="88"/>
  <c r="L797" i="88"/>
  <c r="N797" i="88"/>
  <c r="L798" i="88"/>
  <c r="N798" i="88"/>
  <c r="L799" i="88"/>
  <c r="N799" i="88"/>
  <c r="L801" i="88"/>
  <c r="N801" i="88"/>
  <c r="L802" i="88"/>
  <c r="N802" i="88"/>
  <c r="L803" i="88"/>
  <c r="N803" i="88"/>
  <c r="L804" i="88"/>
  <c r="N804" i="88"/>
  <c r="L800" i="88"/>
  <c r="N800" i="88"/>
  <c r="L805" i="88"/>
  <c r="N805" i="88"/>
  <c r="L806" i="88"/>
  <c r="N806" i="88"/>
  <c r="L807" i="88"/>
  <c r="N807" i="88"/>
  <c r="L808" i="88"/>
  <c r="N808" i="88"/>
  <c r="L809" i="88"/>
  <c r="N809" i="88"/>
  <c r="L810" i="88"/>
  <c r="N810" i="88"/>
  <c r="L811" i="88"/>
  <c r="N811" i="88"/>
  <c r="L812" i="88"/>
  <c r="N812" i="88"/>
  <c r="L813" i="88"/>
  <c r="N813" i="88"/>
  <c r="L814" i="88"/>
  <c r="N814" i="88"/>
  <c r="L815" i="88"/>
  <c r="N815" i="88"/>
  <c r="L816" i="88"/>
  <c r="N816" i="88"/>
  <c r="L817" i="88"/>
  <c r="N817" i="88"/>
  <c r="L818" i="88"/>
  <c r="N818" i="88"/>
  <c r="L819" i="88"/>
  <c r="N819" i="88"/>
  <c r="L820" i="88"/>
  <c r="N820" i="88"/>
  <c r="L821" i="88"/>
  <c r="N821" i="88"/>
  <c r="L822" i="88"/>
  <c r="N822" i="88"/>
  <c r="L823" i="88"/>
  <c r="N823" i="88"/>
  <c r="L824" i="88"/>
  <c r="N824" i="88"/>
  <c r="L825" i="88"/>
  <c r="N825" i="88"/>
  <c r="L826" i="88"/>
  <c r="N826" i="88"/>
  <c r="L827" i="88"/>
  <c r="N827" i="88"/>
  <c r="L828" i="88"/>
  <c r="N828" i="88"/>
  <c r="L829" i="88"/>
  <c r="N829" i="88"/>
  <c r="L830" i="88"/>
  <c r="N830" i="88"/>
  <c r="L831" i="88"/>
  <c r="N831" i="88"/>
  <c r="L832" i="88"/>
  <c r="N832" i="88"/>
  <c r="L833" i="88"/>
  <c r="N833" i="88"/>
  <c r="L834" i="88"/>
  <c r="N834" i="88"/>
  <c r="L835" i="88"/>
  <c r="N835" i="88"/>
  <c r="L836" i="88"/>
  <c r="N836" i="88"/>
  <c r="L837" i="88"/>
  <c r="N837" i="88"/>
  <c r="L838" i="88"/>
  <c r="N838" i="88"/>
  <c r="L839" i="88"/>
  <c r="N839" i="88"/>
  <c r="L840" i="88"/>
  <c r="N840" i="88"/>
  <c r="L841" i="88"/>
  <c r="N841" i="88"/>
  <c r="L842" i="88"/>
  <c r="N842" i="88"/>
  <c r="L843" i="88"/>
  <c r="N843" i="88"/>
  <c r="L844" i="88"/>
  <c r="N844" i="88"/>
  <c r="L845" i="88"/>
  <c r="N845" i="88"/>
  <c r="L846" i="88"/>
  <c r="N846" i="88"/>
  <c r="L847" i="88"/>
  <c r="N847" i="88"/>
  <c r="L848" i="88"/>
  <c r="N848" i="88"/>
  <c r="L849" i="88"/>
  <c r="N849" i="88"/>
  <c r="L850" i="88"/>
  <c r="N850" i="88"/>
  <c r="L851" i="88"/>
  <c r="N851" i="88"/>
  <c r="L852" i="88"/>
  <c r="N852" i="88"/>
  <c r="L853" i="88"/>
  <c r="N853" i="88"/>
  <c r="L854" i="88"/>
  <c r="N854" i="88"/>
  <c r="L855" i="88"/>
  <c r="N855" i="88"/>
  <c r="L856" i="88"/>
  <c r="N856" i="88"/>
  <c r="L857" i="88"/>
  <c r="N857" i="88"/>
  <c r="L858" i="88"/>
  <c r="N858" i="88"/>
  <c r="L859" i="88"/>
  <c r="N859" i="88"/>
  <c r="L860" i="88"/>
  <c r="N860" i="88"/>
  <c r="L861" i="88"/>
  <c r="N861" i="88"/>
  <c r="L862" i="88"/>
  <c r="N862" i="88"/>
  <c r="L863" i="88"/>
  <c r="N863" i="88"/>
  <c r="L864" i="88"/>
  <c r="N864" i="88"/>
  <c r="L865" i="88"/>
  <c r="N865" i="88"/>
  <c r="L866" i="88"/>
  <c r="N866" i="88"/>
  <c r="L867" i="88"/>
  <c r="N867" i="88"/>
  <c r="L868" i="88"/>
  <c r="N868" i="88"/>
  <c r="L869" i="88"/>
  <c r="N869" i="88"/>
  <c r="L870" i="88"/>
  <c r="N870" i="88"/>
  <c r="L871" i="88"/>
  <c r="N871" i="88"/>
  <c r="L872" i="88"/>
  <c r="N872" i="88"/>
  <c r="L873" i="88"/>
  <c r="N873" i="88"/>
  <c r="L874" i="88"/>
  <c r="N874" i="88"/>
  <c r="L875" i="88"/>
  <c r="N875" i="88"/>
  <c r="L876" i="88"/>
  <c r="N876" i="88"/>
  <c r="L877" i="88"/>
  <c r="N877" i="88"/>
  <c r="L878" i="88"/>
  <c r="N878" i="88"/>
  <c r="L879" i="88"/>
  <c r="N879" i="88"/>
  <c r="L880" i="88"/>
  <c r="N880" i="88"/>
  <c r="L881" i="88"/>
  <c r="N881" i="88"/>
  <c r="L882" i="88"/>
  <c r="N882" i="88"/>
  <c r="L883" i="88"/>
  <c r="N883" i="88"/>
  <c r="L884" i="88"/>
  <c r="N884" i="88"/>
  <c r="L885" i="88"/>
  <c r="N885" i="88"/>
  <c r="L886" i="88"/>
  <c r="N886" i="88"/>
  <c r="L887" i="88"/>
  <c r="N887" i="88"/>
  <c r="L888" i="88"/>
  <c r="N888" i="88"/>
  <c r="L889" i="88"/>
  <c r="N889" i="88"/>
  <c r="L890" i="88"/>
  <c r="N890" i="88"/>
  <c r="L891" i="88"/>
  <c r="N891" i="88"/>
  <c r="L892" i="88"/>
  <c r="N892" i="88"/>
  <c r="L893" i="88"/>
  <c r="N893" i="88"/>
  <c r="L894" i="88"/>
  <c r="N894" i="88"/>
  <c r="L895" i="88"/>
  <c r="N895" i="88"/>
  <c r="L896" i="88"/>
  <c r="N896" i="88"/>
  <c r="L897" i="88"/>
  <c r="N897" i="88"/>
  <c r="L898" i="88"/>
  <c r="N898" i="88"/>
  <c r="L899" i="88"/>
  <c r="N899" i="88"/>
  <c r="L900" i="88"/>
  <c r="N900" i="88"/>
  <c r="L901" i="88"/>
  <c r="N901" i="88"/>
  <c r="L902" i="88"/>
  <c r="N902" i="88"/>
  <c r="L903" i="88"/>
  <c r="N903" i="88"/>
  <c r="L904" i="88"/>
  <c r="N904" i="88"/>
  <c r="L905" i="88"/>
  <c r="N905" i="88"/>
  <c r="L906" i="88"/>
  <c r="N906" i="88"/>
  <c r="L907" i="88"/>
  <c r="N907" i="88"/>
  <c r="L908" i="88"/>
  <c r="N908" i="88"/>
  <c r="L909" i="88"/>
  <c r="N909" i="88"/>
  <c r="L910" i="88"/>
  <c r="N910" i="88"/>
  <c r="L911" i="88"/>
  <c r="N911" i="88"/>
  <c r="L912" i="88"/>
  <c r="N912" i="88"/>
  <c r="L913" i="88"/>
  <c r="N913" i="88"/>
  <c r="L914" i="88"/>
  <c r="N914" i="88"/>
  <c r="L915" i="88"/>
  <c r="N915" i="88"/>
  <c r="L916" i="88"/>
  <c r="N916" i="88"/>
  <c r="L917" i="88"/>
  <c r="N917" i="88"/>
  <c r="L918" i="88"/>
  <c r="N918" i="88"/>
  <c r="L919" i="88"/>
  <c r="N919" i="88"/>
  <c r="L920" i="88"/>
  <c r="N920" i="88"/>
  <c r="L921" i="88"/>
  <c r="N921" i="88"/>
  <c r="L922" i="88"/>
  <c r="N922" i="88"/>
  <c r="L923" i="88"/>
  <c r="N923" i="88"/>
  <c r="L924" i="88"/>
  <c r="N924" i="88"/>
  <c r="L925" i="88"/>
  <c r="N925" i="88"/>
  <c r="L926" i="88"/>
  <c r="N926" i="88"/>
  <c r="L927" i="88"/>
  <c r="N927" i="88"/>
  <c r="L928" i="88"/>
  <c r="N928" i="88"/>
  <c r="L929" i="88"/>
  <c r="N929" i="88"/>
  <c r="L930" i="88"/>
  <c r="N930" i="88"/>
  <c r="L931" i="88"/>
  <c r="N931" i="88"/>
  <c r="L932" i="88"/>
  <c r="N932" i="88"/>
  <c r="L933" i="88"/>
  <c r="N933" i="88"/>
  <c r="L934" i="88"/>
  <c r="N934" i="88"/>
  <c r="L935" i="88"/>
  <c r="N935" i="88"/>
  <c r="L936" i="88"/>
  <c r="N936" i="88"/>
  <c r="L937" i="88"/>
  <c r="N937" i="88"/>
  <c r="L938" i="88"/>
  <c r="N938" i="88"/>
  <c r="L939" i="88"/>
  <c r="N939" i="88"/>
  <c r="L940" i="88"/>
  <c r="N940" i="88"/>
  <c r="L941" i="88"/>
  <c r="N941" i="88"/>
  <c r="L942" i="88"/>
  <c r="N942" i="88"/>
  <c r="L943" i="88"/>
  <c r="N943" i="88"/>
  <c r="L944" i="88"/>
  <c r="N944" i="88"/>
  <c r="L945" i="88"/>
  <c r="N945" i="88"/>
  <c r="L946" i="88"/>
  <c r="N946" i="88"/>
  <c r="L947" i="88"/>
  <c r="N947" i="88"/>
  <c r="L948" i="88"/>
  <c r="N948" i="88"/>
  <c r="L949" i="88"/>
  <c r="N949" i="88"/>
  <c r="L950" i="88"/>
  <c r="N950" i="88"/>
  <c r="L951" i="88"/>
  <c r="N951" i="88"/>
  <c r="L952" i="88"/>
  <c r="N952" i="88"/>
  <c r="L953" i="88"/>
  <c r="N953" i="88"/>
  <c r="L954" i="88"/>
  <c r="N954" i="88"/>
  <c r="L955" i="88"/>
  <c r="N955" i="88"/>
  <c r="L956" i="88"/>
  <c r="N956" i="88"/>
  <c r="L957" i="88"/>
  <c r="N957" i="88"/>
  <c r="L958" i="88"/>
  <c r="N958" i="88"/>
  <c r="L959" i="88"/>
  <c r="N959" i="88"/>
  <c r="L960" i="88"/>
  <c r="N960" i="88"/>
  <c r="L961" i="88"/>
  <c r="N961" i="88"/>
  <c r="L962" i="88"/>
  <c r="N962" i="88"/>
  <c r="L963" i="88"/>
  <c r="N963" i="88"/>
  <c r="L964" i="88"/>
  <c r="N964" i="88"/>
  <c r="L965" i="88"/>
  <c r="N965" i="88"/>
  <c r="L966" i="88"/>
  <c r="N966" i="88"/>
  <c r="L967" i="88"/>
  <c r="N967" i="88"/>
  <c r="L968" i="88"/>
  <c r="N968" i="88"/>
  <c r="L969" i="88"/>
  <c r="N969" i="88"/>
  <c r="L970" i="88"/>
  <c r="N970" i="88"/>
  <c r="L971" i="88"/>
  <c r="N971" i="88"/>
  <c r="L972" i="88"/>
  <c r="N972" i="88"/>
  <c r="L973" i="88"/>
  <c r="N973" i="88"/>
  <c r="L974" i="88"/>
  <c r="N974" i="88"/>
  <c r="L975" i="88"/>
  <c r="N975" i="88"/>
  <c r="L976" i="88"/>
  <c r="N976" i="88"/>
  <c r="L977" i="88"/>
  <c r="N977" i="88"/>
  <c r="L978" i="88"/>
  <c r="N978" i="88"/>
  <c r="L979" i="88"/>
  <c r="N979" i="88"/>
  <c r="L980" i="88"/>
  <c r="N980" i="88"/>
  <c r="L981" i="88"/>
  <c r="N981" i="88"/>
  <c r="L982" i="88"/>
  <c r="N982" i="88"/>
  <c r="L983" i="88"/>
  <c r="N983" i="88"/>
  <c r="L984" i="88"/>
  <c r="N984" i="88"/>
  <c r="L985" i="88"/>
  <c r="N985" i="88"/>
  <c r="L986" i="88"/>
  <c r="N986" i="88"/>
  <c r="L987" i="88"/>
  <c r="N987" i="88"/>
  <c r="L988" i="88"/>
  <c r="N988" i="88"/>
  <c r="L989" i="88"/>
  <c r="N989" i="88"/>
  <c r="L990" i="88"/>
  <c r="N990" i="88"/>
  <c r="L991" i="88"/>
  <c r="N991" i="88"/>
  <c r="L992" i="88"/>
  <c r="N992" i="88"/>
  <c r="L993" i="88"/>
  <c r="N993" i="88"/>
  <c r="L994" i="88"/>
  <c r="N994" i="88"/>
  <c r="L995" i="88"/>
  <c r="N995" i="88"/>
  <c r="L996" i="88"/>
  <c r="N996" i="88"/>
  <c r="L997" i="88"/>
  <c r="N997" i="88"/>
  <c r="L998" i="88"/>
  <c r="N998" i="88"/>
  <c r="L999" i="88"/>
  <c r="N999" i="88"/>
  <c r="L1000" i="88"/>
  <c r="N1000" i="88"/>
  <c r="L1001" i="88"/>
  <c r="N1001" i="88"/>
  <c r="L1002" i="88"/>
  <c r="N1002" i="88"/>
  <c r="L1003" i="88"/>
  <c r="N1003" i="88"/>
  <c r="L1004" i="88"/>
  <c r="N1004" i="88"/>
  <c r="L1005" i="88"/>
  <c r="N1005" i="88"/>
  <c r="L1006" i="88"/>
  <c r="N1006" i="88"/>
  <c r="L1007" i="88"/>
  <c r="N1007" i="88"/>
  <c r="L1008" i="88"/>
  <c r="N1008" i="88"/>
  <c r="L1009" i="88"/>
  <c r="N1009" i="88"/>
  <c r="L1010" i="88"/>
  <c r="N1010" i="88"/>
  <c r="L1011" i="88"/>
  <c r="N1011" i="88"/>
  <c r="L1012" i="88"/>
  <c r="N1012" i="88"/>
  <c r="L1013" i="88"/>
  <c r="N1013" i="88"/>
  <c r="L1014" i="88"/>
  <c r="N1014" i="88"/>
  <c r="L1015" i="88"/>
  <c r="N1015" i="88"/>
  <c r="L1016" i="88"/>
  <c r="N1016" i="88"/>
  <c r="L1017" i="88"/>
  <c r="N1017" i="88"/>
  <c r="L1018" i="88"/>
  <c r="N1018" i="88"/>
  <c r="L1019" i="88"/>
  <c r="N1019" i="88"/>
  <c r="L1020" i="88"/>
  <c r="N1020" i="88"/>
  <c r="L1021" i="88"/>
  <c r="N1021" i="88"/>
  <c r="L1022" i="88"/>
  <c r="N1022" i="88"/>
  <c r="L1023" i="88"/>
  <c r="N1023" i="88"/>
  <c r="L1024" i="88"/>
  <c r="N1024" i="88"/>
  <c r="L1025" i="88"/>
  <c r="N1025" i="88"/>
  <c r="L1026" i="88"/>
  <c r="N1026" i="88"/>
  <c r="L1027" i="88"/>
  <c r="N1027" i="88"/>
  <c r="L1028" i="88"/>
  <c r="N1028" i="88"/>
  <c r="L1029" i="88"/>
  <c r="N1029" i="88"/>
  <c r="L1030" i="88"/>
  <c r="N1030" i="88"/>
  <c r="L1031" i="88"/>
  <c r="N1031" i="88"/>
  <c r="L1032" i="88"/>
  <c r="N1032" i="88"/>
  <c r="L1033" i="88"/>
  <c r="N1033" i="88"/>
  <c r="L1034" i="88"/>
  <c r="N1034" i="88"/>
  <c r="L1035" i="88"/>
  <c r="N1035" i="88"/>
  <c r="L1036" i="88"/>
  <c r="N1036" i="88"/>
  <c r="L1037" i="88"/>
  <c r="N1037" i="88"/>
  <c r="L1038" i="88"/>
  <c r="N1038" i="88"/>
  <c r="L1039" i="88"/>
  <c r="N1039" i="88"/>
  <c r="L1040" i="88"/>
  <c r="N1040" i="88"/>
  <c r="L1041" i="88"/>
  <c r="N1041" i="88"/>
  <c r="L1042" i="88"/>
  <c r="N1042" i="88"/>
  <c r="L1043" i="88"/>
  <c r="N1043" i="88"/>
  <c r="L1044" i="88"/>
  <c r="N1044" i="88"/>
  <c r="L1045" i="88"/>
  <c r="N1045" i="88"/>
  <c r="L1046" i="88"/>
  <c r="N1046" i="88"/>
  <c r="L1047" i="88"/>
  <c r="N1047" i="88"/>
  <c r="L1048" i="88"/>
  <c r="N1048" i="88"/>
  <c r="L1049" i="88"/>
  <c r="N1049" i="88"/>
  <c r="L1050" i="88"/>
  <c r="N1050" i="88"/>
  <c r="L1051" i="88"/>
  <c r="N1051" i="88"/>
  <c r="L1052" i="88"/>
  <c r="N1052" i="88"/>
  <c r="L1053" i="88"/>
  <c r="N1053" i="88"/>
  <c r="L1054" i="88"/>
  <c r="N1054" i="88"/>
  <c r="L1055" i="88"/>
  <c r="N1055" i="88"/>
  <c r="L1056" i="88"/>
  <c r="N1056" i="88"/>
  <c r="L1057" i="88"/>
  <c r="N1057" i="88"/>
  <c r="L1058" i="88"/>
  <c r="N1058" i="88"/>
  <c r="L1059" i="88"/>
  <c r="N1059" i="88"/>
  <c r="L1060" i="88"/>
  <c r="N1060" i="88"/>
  <c r="L1061" i="88"/>
  <c r="N1061" i="88"/>
  <c r="L1062" i="88"/>
  <c r="N1062" i="88"/>
  <c r="L1063" i="88"/>
  <c r="N1063" i="88"/>
  <c r="L1064" i="88"/>
  <c r="N1064" i="88"/>
  <c r="L1065" i="88"/>
  <c r="N1065" i="88"/>
  <c r="L1066" i="88"/>
  <c r="N1066" i="88"/>
  <c r="L1067" i="88"/>
  <c r="N1067" i="88"/>
  <c r="L1068" i="88"/>
  <c r="N1068" i="88"/>
  <c r="L1069" i="88"/>
  <c r="N1069" i="88"/>
  <c r="L1070" i="88"/>
  <c r="N1070" i="88"/>
  <c r="L1071" i="88"/>
  <c r="N1071" i="88"/>
  <c r="L1072" i="88"/>
  <c r="N1072" i="88"/>
  <c r="L1073" i="88"/>
  <c r="N1073" i="88"/>
  <c r="L1074" i="88"/>
  <c r="N1074" i="88"/>
  <c r="L1075" i="88"/>
  <c r="N1075" i="88"/>
  <c r="L1076" i="88"/>
  <c r="N1076" i="88"/>
  <c r="L1077" i="88"/>
  <c r="N1077" i="88"/>
  <c r="L1078" i="88"/>
  <c r="N1078" i="88"/>
  <c r="L1079" i="88"/>
  <c r="N1079" i="88"/>
  <c r="L1080" i="88"/>
  <c r="N1080" i="88"/>
  <c r="L1081" i="88"/>
  <c r="N1081" i="88"/>
  <c r="L1082" i="88"/>
  <c r="N1082" i="88"/>
  <c r="L1083" i="88"/>
  <c r="N1083" i="88"/>
  <c r="L1084" i="88"/>
  <c r="N1084" i="88"/>
  <c r="L1085" i="88"/>
  <c r="N1085" i="88"/>
  <c r="L1086" i="88"/>
  <c r="N1086" i="88"/>
  <c r="L1087" i="88"/>
  <c r="N1087" i="88"/>
  <c r="L1088" i="88"/>
  <c r="N1088" i="88"/>
  <c r="L1089" i="88"/>
  <c r="N1089" i="88"/>
  <c r="L1090" i="88"/>
  <c r="N1090" i="88"/>
  <c r="L1091" i="88"/>
  <c r="N1091" i="88"/>
  <c r="L1092" i="88"/>
  <c r="N1092" i="88"/>
  <c r="L1093" i="88"/>
  <c r="N1093" i="88"/>
  <c r="L1094" i="88"/>
  <c r="N1094" i="88"/>
  <c r="L1095" i="88"/>
  <c r="N1095" i="88"/>
  <c r="L1096" i="88"/>
  <c r="N1096" i="88"/>
  <c r="L1097" i="88"/>
  <c r="N1097" i="88"/>
  <c r="L1098" i="88"/>
  <c r="N1098" i="88"/>
  <c r="L1099" i="88"/>
  <c r="N1099" i="88"/>
  <c r="L1100" i="88"/>
  <c r="N1100" i="88"/>
  <c r="L1101" i="88"/>
  <c r="N1101" i="88"/>
  <c r="L1102" i="88"/>
  <c r="N1102" i="88"/>
  <c r="L1103" i="88"/>
  <c r="N1103" i="88"/>
  <c r="L1104" i="88"/>
  <c r="N1104" i="88"/>
  <c r="L1105" i="88"/>
  <c r="N1105" i="88"/>
  <c r="L1106" i="88"/>
  <c r="N1106" i="88"/>
  <c r="L1107" i="88"/>
  <c r="N1107" i="88"/>
  <c r="L1108" i="88"/>
  <c r="N1108" i="88"/>
  <c r="L1109" i="88"/>
  <c r="N1109" i="88"/>
  <c r="L1110" i="88"/>
  <c r="N1110" i="88"/>
  <c r="L1111" i="88"/>
  <c r="N1111" i="88"/>
  <c r="L1112" i="88"/>
  <c r="N1112" i="88"/>
  <c r="L1113" i="88"/>
  <c r="N1113" i="88"/>
  <c r="L1114" i="88"/>
  <c r="N1114" i="88"/>
  <c r="L1115" i="88"/>
  <c r="N1115" i="88"/>
  <c r="L1116" i="88"/>
  <c r="N1116" i="88"/>
  <c r="L1117" i="88"/>
  <c r="N1117" i="88"/>
  <c r="L1118" i="88"/>
  <c r="N1118" i="88"/>
  <c r="L1119" i="88"/>
  <c r="N1119" i="88"/>
  <c r="L1120" i="88"/>
  <c r="N1120" i="88"/>
  <c r="L1121" i="88"/>
  <c r="N1121" i="88"/>
  <c r="L1122" i="88"/>
  <c r="N1122" i="88"/>
  <c r="L1123" i="88"/>
  <c r="N1123" i="88"/>
  <c r="L1124" i="88"/>
  <c r="N1124" i="88"/>
  <c r="L1125" i="88"/>
  <c r="N1125" i="88"/>
  <c r="L1126" i="88"/>
  <c r="N1126" i="88"/>
  <c r="L1127" i="88"/>
  <c r="N1127" i="88"/>
  <c r="L1128" i="88"/>
  <c r="N1128" i="88"/>
  <c r="L1129" i="88"/>
  <c r="N1129" i="88"/>
  <c r="L1130" i="88"/>
  <c r="N1130" i="88"/>
  <c r="L1131" i="88"/>
  <c r="N1131" i="88"/>
  <c r="L1132" i="88"/>
  <c r="N1132" i="88"/>
  <c r="L1133" i="88"/>
  <c r="N1133" i="88"/>
  <c r="L1134" i="88"/>
  <c r="N1134" i="88"/>
  <c r="L1135" i="88"/>
  <c r="N1135" i="88"/>
  <c r="L1136" i="88"/>
  <c r="N1136" i="88"/>
  <c r="L1137" i="88"/>
  <c r="N1137" i="88"/>
  <c r="L1138" i="88"/>
  <c r="N1138" i="88"/>
  <c r="L1139" i="88"/>
  <c r="N1139" i="88"/>
  <c r="L1140" i="88"/>
  <c r="N1140" i="88"/>
  <c r="L1141" i="88"/>
  <c r="N1141" i="88"/>
  <c r="L1142" i="88"/>
  <c r="N1142" i="88"/>
  <c r="L1143" i="88"/>
  <c r="N1143" i="88"/>
  <c r="L1144" i="88"/>
  <c r="N1144" i="88"/>
  <c r="L1145" i="88"/>
  <c r="N1145" i="88"/>
  <c r="L1146" i="88"/>
  <c r="N1146" i="88"/>
  <c r="L1147" i="88"/>
  <c r="N1147" i="88"/>
  <c r="L1148" i="88"/>
  <c r="N1148" i="88"/>
  <c r="L1149" i="88"/>
  <c r="N1149" i="88"/>
  <c r="L1150" i="88"/>
  <c r="N1150" i="88"/>
  <c r="L1151" i="88"/>
  <c r="N1151" i="88"/>
  <c r="L1152" i="88"/>
  <c r="N1152" i="88"/>
  <c r="L1153" i="88"/>
  <c r="N1153" i="88"/>
  <c r="L1154" i="88"/>
  <c r="N1154" i="88"/>
  <c r="L1155" i="88"/>
  <c r="N1155" i="88"/>
  <c r="L1156" i="88"/>
  <c r="N1156" i="88"/>
  <c r="L1157" i="88"/>
  <c r="N1157" i="88"/>
  <c r="L1158" i="88"/>
  <c r="N1158" i="88"/>
  <c r="L1159" i="88"/>
  <c r="N1159" i="88"/>
  <c r="L1160" i="88"/>
  <c r="N1160" i="88"/>
  <c r="L1161" i="88"/>
  <c r="N1161" i="88"/>
  <c r="L1162" i="88"/>
  <c r="N1162" i="88"/>
  <c r="L1163" i="88"/>
  <c r="N1163" i="88"/>
  <c r="L1164" i="88"/>
  <c r="N1164" i="88"/>
  <c r="L1165" i="88"/>
  <c r="N1165" i="88"/>
  <c r="L1166" i="88"/>
  <c r="N1166" i="88"/>
  <c r="L1167" i="88"/>
  <c r="N1167" i="88"/>
  <c r="L1168" i="88"/>
  <c r="N1168" i="88"/>
  <c r="L1169" i="88"/>
  <c r="N1169" i="88"/>
  <c r="L1170" i="88"/>
  <c r="N1170" i="88"/>
  <c r="L1171" i="88"/>
  <c r="N1171" i="88"/>
  <c r="L1172" i="88"/>
  <c r="N1172" i="88"/>
  <c r="L1173" i="88"/>
  <c r="N1173" i="88"/>
  <c r="L1174" i="88"/>
  <c r="N1174" i="88"/>
  <c r="L1175" i="88"/>
  <c r="N1175" i="88"/>
  <c r="L1176" i="88"/>
  <c r="N1176" i="88"/>
  <c r="L1177" i="88"/>
  <c r="N1177" i="88"/>
  <c r="L1178" i="88"/>
  <c r="N1178" i="88"/>
  <c r="L1179" i="88"/>
  <c r="N1179" i="88"/>
  <c r="L1180" i="88"/>
  <c r="N1180" i="88"/>
  <c r="L1181" i="88"/>
  <c r="N1181" i="88"/>
  <c r="L1182" i="88"/>
  <c r="N1182" i="88"/>
  <c r="L1183" i="88"/>
  <c r="N1183" i="88"/>
  <c r="L1184" i="88"/>
  <c r="N1184" i="88"/>
  <c r="L1185" i="88"/>
  <c r="N1185" i="88"/>
  <c r="L1186" i="88"/>
  <c r="N1186" i="88"/>
  <c r="L1187" i="88"/>
  <c r="N1187" i="88"/>
  <c r="L1188" i="88"/>
  <c r="N1188" i="88"/>
  <c r="L1189" i="88"/>
  <c r="N1189" i="88"/>
  <c r="L1190" i="88"/>
  <c r="N1190" i="88"/>
  <c r="L1191" i="88"/>
  <c r="N1191" i="88"/>
  <c r="L1192" i="88"/>
  <c r="N1192" i="88"/>
  <c r="L1193" i="88"/>
  <c r="N1193" i="88"/>
  <c r="L1194" i="88"/>
  <c r="N1194" i="88"/>
  <c r="L1195" i="88"/>
  <c r="N1195" i="88"/>
  <c r="L1196" i="88"/>
  <c r="N1196" i="88"/>
  <c r="L1197" i="88"/>
  <c r="N1197" i="88"/>
  <c r="L1198" i="88"/>
  <c r="N1198" i="88"/>
  <c r="L1199" i="88"/>
  <c r="N1199" i="88"/>
  <c r="L1200" i="88"/>
  <c r="N1200" i="88"/>
  <c r="L1201" i="88"/>
  <c r="N1201" i="88"/>
  <c r="L1202" i="88"/>
  <c r="N1202" i="88"/>
  <c r="L1203" i="88"/>
  <c r="N1203" i="88"/>
  <c r="L1204" i="88"/>
  <c r="N1204" i="88"/>
  <c r="L1205" i="88"/>
  <c r="N1205" i="88"/>
  <c r="L1206" i="88"/>
  <c r="N1206" i="88"/>
  <c r="L1207" i="88"/>
  <c r="N1207" i="88"/>
  <c r="L1208" i="88"/>
  <c r="N1208" i="88"/>
  <c r="L1209" i="88"/>
  <c r="N1209" i="88"/>
  <c r="L1210" i="88"/>
  <c r="N1210" i="88"/>
  <c r="L1211" i="88"/>
  <c r="N1211" i="88"/>
  <c r="L1212" i="88"/>
  <c r="N1212" i="88"/>
  <c r="L1213" i="88"/>
  <c r="N1213" i="88"/>
  <c r="L1214" i="88"/>
  <c r="N1214" i="88"/>
  <c r="L1215" i="88"/>
  <c r="N1215" i="88"/>
  <c r="L1216" i="88"/>
  <c r="N1216" i="88"/>
  <c r="L1217" i="88"/>
  <c r="N1217" i="88"/>
  <c r="L1218" i="88"/>
  <c r="N1218" i="88"/>
  <c r="L1219" i="88"/>
  <c r="N1219" i="88"/>
  <c r="L1220" i="88"/>
  <c r="N1220" i="88"/>
  <c r="L1221" i="88"/>
  <c r="N1221" i="88"/>
  <c r="L1222" i="88"/>
  <c r="N1222" i="88"/>
  <c r="L1223" i="88"/>
  <c r="N1223" i="88"/>
  <c r="L1224" i="88"/>
  <c r="N1224" i="88"/>
  <c r="L1225" i="88"/>
  <c r="N1225" i="88"/>
  <c r="L1226" i="88"/>
  <c r="N1226" i="88"/>
  <c r="L1227" i="88"/>
  <c r="N1227" i="88"/>
  <c r="L1228" i="88"/>
  <c r="N1228" i="88"/>
  <c r="L1229" i="88"/>
  <c r="N1229" i="88"/>
  <c r="L1230" i="88"/>
  <c r="N1230" i="88"/>
  <c r="L1231" i="88"/>
  <c r="N1231" i="88"/>
  <c r="L1232" i="88"/>
  <c r="N1232" i="88"/>
  <c r="L1233" i="88"/>
  <c r="N1233" i="88"/>
  <c r="L1234" i="88"/>
  <c r="N1234" i="88"/>
  <c r="L1235" i="88"/>
  <c r="N1235" i="88"/>
  <c r="L1236" i="88"/>
  <c r="N1236" i="88"/>
  <c r="L1237" i="88"/>
  <c r="N1237" i="88"/>
  <c r="L1238" i="88"/>
  <c r="N1238" i="88"/>
  <c r="L1239" i="88"/>
  <c r="N1239" i="88"/>
  <c r="L1240" i="88"/>
  <c r="N1240" i="88"/>
  <c r="L1241" i="88"/>
  <c r="N1241" i="88"/>
  <c r="L1242" i="88"/>
  <c r="N1242" i="88"/>
  <c r="L1243" i="88"/>
  <c r="N1243" i="88"/>
  <c r="L1244" i="88"/>
  <c r="N1244" i="88"/>
  <c r="L1245" i="88"/>
  <c r="N1245" i="88"/>
  <c r="L1246" i="88"/>
  <c r="N1246" i="88"/>
  <c r="L1247" i="88"/>
  <c r="N1247" i="88"/>
  <c r="L1248" i="88"/>
  <c r="N1248" i="88"/>
  <c r="L1249" i="88"/>
  <c r="N1249" i="88"/>
  <c r="L1250" i="88"/>
  <c r="N1250" i="88"/>
  <c r="L1251" i="88"/>
  <c r="N1251" i="88"/>
  <c r="L1252" i="88"/>
  <c r="N1252" i="88"/>
  <c r="L1253" i="88"/>
  <c r="N1253" i="88"/>
  <c r="L1254" i="88"/>
  <c r="N1254" i="88"/>
  <c r="L1255" i="88"/>
  <c r="N1255" i="88"/>
  <c r="L1256" i="88"/>
  <c r="N1256" i="88"/>
  <c r="L1257" i="88"/>
  <c r="N1257" i="88"/>
  <c r="L1258" i="88"/>
  <c r="N1258" i="88"/>
  <c r="L1259" i="88"/>
  <c r="N1259" i="88"/>
  <c r="L1260" i="88"/>
  <c r="N1260" i="88"/>
  <c r="L1261" i="88"/>
  <c r="N1261" i="88"/>
  <c r="L1262" i="88"/>
  <c r="N1262" i="88"/>
  <c r="L1263" i="88"/>
  <c r="N1263" i="88"/>
  <c r="L1264" i="88"/>
  <c r="N1264" i="88"/>
  <c r="L1265" i="88"/>
  <c r="N1265" i="88"/>
  <c r="L1266" i="88"/>
  <c r="N1266" i="88"/>
  <c r="L1267" i="88"/>
  <c r="N1267" i="88"/>
  <c r="L1268" i="88"/>
  <c r="N1268" i="88"/>
  <c r="L1269" i="88"/>
  <c r="N1269" i="88"/>
  <c r="L1270" i="88"/>
  <c r="N1270" i="88"/>
  <c r="L1271" i="88"/>
  <c r="N1271" i="88"/>
  <c r="L1272" i="88"/>
  <c r="N1272" i="88"/>
  <c r="L1273" i="88"/>
  <c r="N1273" i="88"/>
  <c r="L1274" i="88"/>
  <c r="N1274" i="88"/>
  <c r="L1275" i="88"/>
  <c r="N1275" i="88"/>
  <c r="L1276" i="88"/>
  <c r="N1276" i="88"/>
  <c r="L1277" i="88"/>
  <c r="N1277" i="88"/>
  <c r="L1278" i="88"/>
  <c r="N1278" i="88"/>
  <c r="L1279" i="88"/>
  <c r="N1279" i="88"/>
  <c r="L1280" i="88"/>
  <c r="N1280" i="88"/>
  <c r="L1281" i="88"/>
  <c r="N1281" i="88"/>
  <c r="L1282" i="88"/>
  <c r="N1282" i="88"/>
  <c r="L1283" i="88"/>
  <c r="N1283" i="88"/>
  <c r="L1284" i="88"/>
  <c r="N1284" i="88"/>
  <c r="L1285" i="88"/>
  <c r="N1285" i="88"/>
  <c r="L1286" i="88"/>
  <c r="N1286" i="88"/>
  <c r="L1287" i="88"/>
  <c r="N1287" i="88"/>
  <c r="L1288" i="88"/>
  <c r="N1288" i="88"/>
  <c r="L1289" i="88"/>
  <c r="N1289" i="88"/>
  <c r="L1290" i="88"/>
  <c r="N1290" i="88"/>
  <c r="L1291" i="88"/>
  <c r="N1291" i="88"/>
  <c r="L1292" i="88"/>
  <c r="N1292" i="88"/>
  <c r="L1293" i="88"/>
  <c r="N1293" i="88"/>
  <c r="L1294" i="88"/>
  <c r="N1294" i="88"/>
  <c r="L1295" i="88"/>
  <c r="N1295" i="88"/>
  <c r="L1296" i="88"/>
  <c r="N1296" i="88"/>
  <c r="L1297" i="88"/>
  <c r="N1297" i="88"/>
  <c r="L1298" i="88"/>
  <c r="N1298" i="88"/>
  <c r="L1299" i="88"/>
  <c r="N1299" i="88"/>
  <c r="L1300" i="88"/>
  <c r="N1300" i="88"/>
  <c r="L1301" i="88"/>
  <c r="N1301" i="88"/>
  <c r="L1302" i="88"/>
  <c r="N1302" i="88"/>
  <c r="L1303" i="88"/>
  <c r="N1303" i="88"/>
  <c r="L1304" i="88"/>
  <c r="N1304" i="88"/>
  <c r="L1305" i="88"/>
  <c r="N1305" i="88"/>
  <c r="L1306" i="88"/>
  <c r="N1306" i="88"/>
  <c r="L1307" i="88"/>
  <c r="N1307" i="88"/>
  <c r="L1308" i="88"/>
  <c r="N1308" i="88"/>
  <c r="L1309" i="88"/>
  <c r="N1309" i="88"/>
  <c r="L1310" i="88"/>
  <c r="N1310" i="88"/>
  <c r="L1311" i="88"/>
  <c r="N1311" i="88"/>
  <c r="L1312" i="88"/>
  <c r="N1312" i="88"/>
  <c r="L1313" i="88"/>
  <c r="N1313" i="88"/>
  <c r="L1314" i="88"/>
  <c r="N1314" i="88"/>
  <c r="L1315" i="88"/>
  <c r="N1315" i="88"/>
  <c r="L1316" i="88"/>
  <c r="N1316" i="88"/>
  <c r="L1317" i="88"/>
  <c r="N1317" i="88"/>
  <c r="L1318" i="88"/>
  <c r="N1318" i="88"/>
  <c r="L1319" i="88"/>
  <c r="N1319" i="88"/>
  <c r="L1320" i="88"/>
  <c r="N1320" i="88"/>
  <c r="L1321" i="88"/>
  <c r="N1321" i="88"/>
  <c r="L1322" i="88"/>
  <c r="N1322" i="88"/>
  <c r="L1323" i="88"/>
  <c r="N1323" i="88"/>
  <c r="L1324" i="88"/>
  <c r="N1324" i="88"/>
  <c r="L1325" i="88"/>
  <c r="N1325" i="88"/>
  <c r="L1326" i="88"/>
  <c r="N1326" i="88"/>
  <c r="L1327" i="88"/>
  <c r="N1327" i="88"/>
  <c r="L1328" i="88"/>
  <c r="N1328" i="88"/>
  <c r="L1329" i="88"/>
  <c r="N1329" i="88"/>
  <c r="L1330" i="88"/>
  <c r="N1330" i="88"/>
  <c r="L1331" i="88"/>
  <c r="N1331" i="88"/>
  <c r="L1332" i="88"/>
  <c r="N1332" i="88"/>
  <c r="L1333" i="88"/>
  <c r="N1333" i="88"/>
  <c r="L1334" i="88"/>
  <c r="N1334" i="88"/>
  <c r="L1335" i="88"/>
  <c r="N1335" i="88"/>
  <c r="L1336" i="88"/>
  <c r="N1336" i="88"/>
  <c r="L1337" i="88"/>
  <c r="N1337" i="88"/>
  <c r="L1338" i="88"/>
  <c r="N1338" i="88"/>
  <c r="L1339" i="88"/>
  <c r="N1339" i="88"/>
  <c r="L1340" i="88"/>
  <c r="N1340" i="88"/>
  <c r="L1341" i="88"/>
  <c r="N1341" i="88"/>
  <c r="L1342" i="88"/>
  <c r="N1342" i="88"/>
  <c r="L1343" i="88"/>
  <c r="N1343" i="88"/>
  <c r="L1344" i="88"/>
  <c r="N1344" i="88"/>
  <c r="L1345" i="88"/>
  <c r="N1345" i="88"/>
  <c r="L1346" i="88"/>
  <c r="N1346" i="88"/>
  <c r="L1347" i="88"/>
  <c r="N1347" i="88"/>
  <c r="L1348" i="88"/>
  <c r="N1348" i="88"/>
  <c r="L1349" i="88"/>
  <c r="N1349" i="88"/>
  <c r="L1350" i="88"/>
  <c r="N1350" i="88"/>
  <c r="L1351" i="88"/>
  <c r="N1351" i="88"/>
  <c r="L1352" i="88"/>
  <c r="N1352" i="88"/>
  <c r="L1353" i="88"/>
  <c r="N1353" i="88"/>
  <c r="L1354" i="88"/>
  <c r="N1354" i="88"/>
  <c r="L1355" i="88"/>
  <c r="N1355" i="88"/>
  <c r="L1356" i="88"/>
  <c r="N1356" i="88"/>
  <c r="L1357" i="88"/>
  <c r="N1357" i="88"/>
  <c r="L1358" i="88"/>
  <c r="N1358" i="88"/>
  <c r="L1359" i="88"/>
  <c r="N1359" i="88"/>
  <c r="L1360" i="88"/>
  <c r="N1360" i="88"/>
  <c r="L1361" i="88"/>
  <c r="N1361" i="88"/>
  <c r="L1362" i="88"/>
  <c r="N1362" i="88"/>
  <c r="L1363" i="88"/>
  <c r="N1363" i="88"/>
  <c r="L1364" i="88"/>
  <c r="N1364" i="88"/>
  <c r="L1365" i="88"/>
  <c r="N1365" i="88"/>
  <c r="L1366" i="88"/>
  <c r="N1366" i="88"/>
  <c r="L1367" i="88"/>
  <c r="N1367" i="88"/>
  <c r="L1368" i="88"/>
  <c r="N1368" i="88"/>
  <c r="L1369" i="88"/>
  <c r="N1369" i="88"/>
  <c r="L1370" i="88"/>
  <c r="N1370" i="88"/>
  <c r="L1371" i="88"/>
  <c r="N1371" i="88"/>
  <c r="L1372" i="88"/>
  <c r="N1372" i="88"/>
  <c r="L1373" i="88"/>
  <c r="N1373" i="88"/>
  <c r="L1374" i="88"/>
  <c r="N1374" i="88"/>
  <c r="L1375" i="88"/>
  <c r="N1375" i="88"/>
  <c r="L1376" i="88"/>
  <c r="N1376" i="88"/>
  <c r="L1377" i="88"/>
  <c r="N1377" i="88"/>
  <c r="L1378" i="88"/>
  <c r="N1378" i="88"/>
  <c r="L1379" i="88"/>
  <c r="N1379" i="88"/>
  <c r="L1380" i="88"/>
  <c r="N1380" i="88"/>
  <c r="L1381" i="88"/>
  <c r="N1381" i="88"/>
  <c r="L1382" i="88"/>
  <c r="N1382" i="88"/>
  <c r="L1383" i="88"/>
  <c r="N1383" i="88"/>
  <c r="L1384" i="88"/>
  <c r="N1384" i="88"/>
  <c r="L1385" i="88"/>
  <c r="N1385" i="88"/>
  <c r="L1386" i="88"/>
  <c r="N1386" i="88"/>
  <c r="L1387" i="88"/>
  <c r="N1387" i="88"/>
  <c r="L1388" i="88"/>
  <c r="N1388" i="88"/>
  <c r="L1389" i="88"/>
  <c r="N1389" i="88"/>
  <c r="L1390" i="88"/>
  <c r="N1390" i="88"/>
  <c r="L1391" i="88"/>
  <c r="N1391" i="88"/>
  <c r="L1392" i="88"/>
  <c r="N1392" i="88"/>
  <c r="L1393" i="88"/>
  <c r="N1393" i="88"/>
  <c r="L1394" i="88"/>
  <c r="N1394" i="88"/>
  <c r="L1395" i="88"/>
  <c r="N1395" i="88"/>
  <c r="L1396" i="88"/>
  <c r="N1396" i="88"/>
  <c r="L1397" i="88"/>
  <c r="N1397" i="88"/>
  <c r="L1398" i="88"/>
  <c r="N1398" i="88"/>
  <c r="L1399" i="88"/>
  <c r="N1399" i="88"/>
  <c r="L1400" i="88"/>
  <c r="N1400" i="88"/>
  <c r="L1401" i="88"/>
  <c r="N1401" i="88"/>
  <c r="L1402" i="88"/>
  <c r="N1402" i="88"/>
  <c r="L1403" i="88"/>
  <c r="N1403" i="88"/>
  <c r="L1404" i="88"/>
  <c r="N1404" i="88"/>
  <c r="L1405" i="88"/>
  <c r="N1405" i="88"/>
  <c r="L1406" i="88"/>
  <c r="N1406" i="88"/>
  <c r="L1407" i="88"/>
  <c r="N1407" i="88"/>
  <c r="L1408" i="88"/>
  <c r="N1408" i="88"/>
  <c r="L1409" i="88"/>
  <c r="N1409" i="88"/>
  <c r="L1410" i="88"/>
  <c r="N1410" i="88"/>
  <c r="L1411" i="88"/>
  <c r="N1411" i="88"/>
  <c r="L1412" i="88"/>
  <c r="N1412" i="88"/>
  <c r="L1413" i="88"/>
  <c r="N1413" i="88"/>
  <c r="L1414" i="88"/>
  <c r="N1414" i="88"/>
  <c r="L1415" i="88"/>
  <c r="N1415" i="88"/>
  <c r="L1416" i="88"/>
  <c r="N1416" i="88"/>
  <c r="L1417" i="88"/>
  <c r="N1417" i="88"/>
  <c r="L1418" i="88"/>
  <c r="N1418" i="88"/>
  <c r="L1419" i="88"/>
  <c r="N1419" i="88"/>
  <c r="L1420" i="88"/>
  <c r="N1420" i="88"/>
  <c r="L1421" i="88"/>
  <c r="N1421" i="88"/>
  <c r="L1422" i="88"/>
  <c r="N1422" i="88"/>
  <c r="L1423" i="88"/>
  <c r="N1423" i="88"/>
  <c r="L1424" i="88"/>
  <c r="N1424" i="88"/>
  <c r="L1425" i="88"/>
  <c r="N1425" i="88"/>
  <c r="L1426" i="88"/>
  <c r="N1426" i="88"/>
  <c r="L1427" i="88"/>
  <c r="N1427" i="88"/>
  <c r="L1428" i="88"/>
  <c r="N1428" i="88"/>
  <c r="L1429" i="88"/>
  <c r="N1429" i="88"/>
  <c r="L1430" i="88"/>
  <c r="N1430" i="88"/>
  <c r="L1431" i="88"/>
  <c r="N1431" i="88"/>
  <c r="L1432" i="88"/>
  <c r="N1432" i="88"/>
  <c r="L1433" i="88"/>
  <c r="N1433" i="88"/>
  <c r="L1434" i="88"/>
  <c r="N1434" i="88"/>
  <c r="L1435" i="88"/>
  <c r="N1435" i="88"/>
  <c r="L1436" i="88"/>
  <c r="N1436" i="88"/>
  <c r="L1437" i="88"/>
  <c r="N1437" i="88"/>
  <c r="L1438" i="88"/>
  <c r="N1438" i="88"/>
  <c r="L1439" i="88"/>
  <c r="N1439" i="88"/>
  <c r="L1440" i="88"/>
  <c r="N1440" i="88"/>
  <c r="L1441" i="88"/>
  <c r="N1441" i="88"/>
  <c r="L1442" i="88"/>
  <c r="N1442" i="88"/>
  <c r="L1443" i="88"/>
  <c r="N1443" i="88"/>
  <c r="L1444" i="88"/>
  <c r="N1444" i="88"/>
  <c r="L1445" i="88"/>
  <c r="N1445" i="88"/>
  <c r="L1446" i="88"/>
  <c r="N1446" i="88"/>
  <c r="L1447" i="88"/>
  <c r="N1447" i="88"/>
  <c r="K31" i="70" l="1"/>
  <c r="K30" i="70"/>
  <c r="K33" i="70"/>
  <c r="K29" i="70"/>
  <c r="L29" i="70"/>
  <c r="L31" i="70"/>
  <c r="L30" i="70"/>
  <c r="L33" i="70"/>
  <c r="K53" i="70"/>
  <c r="K55" i="70"/>
  <c r="K54" i="70"/>
  <c r="K52" i="70"/>
  <c r="K49" i="70"/>
  <c r="K48" i="70"/>
  <c r="K50" i="70"/>
  <c r="K26" i="70"/>
  <c r="K27" i="70"/>
  <c r="K28" i="70"/>
  <c r="K32" i="70"/>
  <c r="K34" i="70"/>
  <c r="K35" i="70"/>
  <c r="K36" i="70"/>
  <c r="K37" i="70"/>
  <c r="K38" i="70"/>
  <c r="K39" i="70"/>
  <c r="K40" i="70"/>
  <c r="K41" i="70"/>
  <c r="K42" i="70"/>
  <c r="K44" i="70"/>
  <c r="K45" i="70"/>
  <c r="K46" i="70"/>
  <c r="K47" i="70"/>
  <c r="K51" i="70"/>
  <c r="K43" i="70"/>
  <c r="D253" i="90"/>
  <c r="G253" i="90" s="1"/>
  <c r="G255" i="90" s="1"/>
  <c r="L746" i="88" l="1"/>
  <c r="N746" i="88"/>
  <c r="L745" i="88"/>
  <c r="H40" i="70" s="1"/>
  <c r="N745" i="88"/>
  <c r="J40" i="70" s="1"/>
  <c r="L743" i="88"/>
  <c r="N743" i="88"/>
  <c r="L40" i="70" l="1"/>
  <c r="K290" i="88"/>
  <c r="L290" i="88" s="1"/>
  <c r="L289" i="88"/>
  <c r="L291" i="88"/>
  <c r="L288" i="88"/>
  <c r="K279" i="88"/>
  <c r="L279" i="88" s="1"/>
  <c r="L277" i="88"/>
  <c r="L276" i="88"/>
  <c r="L292" i="88"/>
  <c r="L287" i="88"/>
  <c r="L286" i="88"/>
  <c r="L285" i="88"/>
  <c r="L284" i="88"/>
  <c r="L283" i="88"/>
  <c r="L278" i="88"/>
  <c r="L275" i="88"/>
  <c r="N274" i="88"/>
  <c r="L274" i="88"/>
  <c r="N273" i="88"/>
  <c r="L273" i="88"/>
  <c r="N272" i="88"/>
  <c r="L272" i="88"/>
  <c r="N271" i="88"/>
  <c r="L271" i="88"/>
  <c r="N270" i="88"/>
  <c r="L270" i="88"/>
  <c r="L282" i="88"/>
  <c r="L281" i="88"/>
  <c r="L280" i="88"/>
  <c r="N269" i="88"/>
  <c r="L269" i="88"/>
  <c r="N268" i="88"/>
  <c r="L268" i="88"/>
  <c r="N267" i="88"/>
  <c r="L267" i="88"/>
  <c r="N266" i="88"/>
  <c r="L266" i="88"/>
  <c r="N265" i="88"/>
  <c r="L265" i="88"/>
  <c r="N264" i="88"/>
  <c r="L264" i="88"/>
  <c r="N263" i="88"/>
  <c r="L263" i="88"/>
  <c r="N262" i="88"/>
  <c r="L262" i="88"/>
  <c r="N261" i="88"/>
  <c r="L261" i="88"/>
  <c r="A224" i="90" l="1"/>
  <c r="A225" i="90"/>
  <c r="V174" i="90"/>
  <c r="O196" i="90"/>
  <c r="V212" i="90"/>
  <c r="V124" i="90"/>
  <c r="V123" i="90"/>
  <c r="V104" i="90"/>
  <c r="V105" i="90"/>
  <c r="V106" i="90"/>
  <c r="V107" i="90"/>
  <c r="V108" i="90"/>
  <c r="V109" i="90"/>
  <c r="N696" i="88"/>
  <c r="L696" i="88"/>
  <c r="N517" i="88"/>
  <c r="L517" i="88"/>
  <c r="N518" i="88"/>
  <c r="L518" i="88"/>
  <c r="N514" i="88"/>
  <c r="L514" i="88"/>
  <c r="L511" i="88"/>
  <c r="N516" i="88"/>
  <c r="L516" i="88"/>
  <c r="N515" i="88"/>
  <c r="L515" i="88"/>
  <c r="N513" i="88"/>
  <c r="L513" i="88"/>
  <c r="N512" i="88"/>
  <c r="L512" i="88"/>
  <c r="V195" i="90"/>
  <c r="V197" i="90"/>
  <c r="V196" i="90"/>
  <c r="V199" i="90"/>
  <c r="V200" i="90"/>
  <c r="V201" i="90"/>
  <c r="V202" i="90"/>
  <c r="V203" i="90"/>
  <c r="V204" i="90"/>
  <c r="I56" i="70" l="1"/>
  <c r="G56" i="70"/>
  <c r="V230" i="90"/>
  <c r="V229" i="90"/>
  <c r="V228" i="90"/>
  <c r="V227" i="90"/>
  <c r="V226" i="90"/>
  <c r="D223" i="90"/>
  <c r="G223" i="90" s="1"/>
  <c r="D224" i="90"/>
  <c r="G224" i="90" s="1"/>
  <c r="D225" i="90"/>
  <c r="G225" i="90" s="1"/>
  <c r="K221" i="88"/>
  <c r="O146" i="90"/>
  <c r="K56" i="70" l="1"/>
  <c r="D196" i="90"/>
  <c r="G196" i="90" s="1"/>
  <c r="M196" i="90"/>
  <c r="E306" i="90" l="1"/>
  <c r="E281" i="90"/>
  <c r="E255" i="90"/>
  <c r="E227" i="90"/>
  <c r="E199" i="90"/>
  <c r="V186" i="90" l="1"/>
  <c r="L173" i="90" s="1"/>
  <c r="V187" i="90"/>
  <c r="L707" i="88" l="1"/>
  <c r="N707" i="88"/>
  <c r="L708" i="88"/>
  <c r="N708" i="88"/>
  <c r="L709" i="88"/>
  <c r="N709" i="88"/>
  <c r="L710" i="88"/>
  <c r="N710" i="88"/>
  <c r="L705" i="88"/>
  <c r="N705" i="88"/>
  <c r="L706" i="88"/>
  <c r="N706" i="88"/>
  <c r="L704" i="88"/>
  <c r="N704" i="88"/>
  <c r="N698" i="88" l="1"/>
  <c r="L698" i="88"/>
  <c r="V317" i="90"/>
  <c r="V316" i="90"/>
  <c r="V315" i="90"/>
  <c r="L302" i="90" s="1"/>
  <c r="V314" i="90"/>
  <c r="V291" i="90"/>
  <c r="L279" i="90" s="1"/>
  <c r="V290" i="90"/>
  <c r="L278" i="90" s="1"/>
  <c r="V289" i="90"/>
  <c r="L277" i="90" s="1"/>
  <c r="V288" i="90"/>
  <c r="L276" i="90" s="1"/>
  <c r="V287" i="90"/>
  <c r="L275" i="90" s="1"/>
  <c r="V286" i="90"/>
  <c r="L274" i="90" s="1"/>
  <c r="V266" i="90"/>
  <c r="V265" i="90"/>
  <c r="V264" i="90"/>
  <c r="L250" i="90" s="1"/>
  <c r="V263" i="90"/>
  <c r="V262" i="90"/>
  <c r="V261" i="90"/>
  <c r="V260" i="90"/>
  <c r="V239" i="90"/>
  <c r="V238" i="90"/>
  <c r="V237" i="90"/>
  <c r="V236" i="90"/>
  <c r="V235" i="90"/>
  <c r="V234" i="90"/>
  <c r="V233" i="90"/>
  <c r="L221" i="90" s="1"/>
  <c r="V207" i="90"/>
  <c r="L194" i="90" s="1"/>
  <c r="V209" i="90"/>
  <c r="V210" i="90"/>
  <c r="V211" i="90"/>
  <c r="L197" i="90" s="1"/>
  <c r="V208" i="90"/>
  <c r="L195" i="90" s="1"/>
  <c r="L299" i="90" l="1"/>
  <c r="L300" i="90"/>
  <c r="L301" i="90"/>
  <c r="V318" i="90"/>
  <c r="L248" i="90"/>
  <c r="L249" i="90"/>
  <c r="V214" i="90"/>
  <c r="L223" i="90"/>
  <c r="L222" i="90"/>
  <c r="L196" i="90"/>
  <c r="L199" i="90" s="1"/>
  <c r="V292" i="90"/>
  <c r="V267" i="90"/>
  <c r="V240" i="90"/>
  <c r="N510" i="88"/>
  <c r="L510" i="88"/>
  <c r="N509" i="88"/>
  <c r="L509" i="88"/>
  <c r="N508" i="88"/>
  <c r="L508" i="88"/>
  <c r="N507" i="88"/>
  <c r="L507" i="88"/>
  <c r="N506" i="88"/>
  <c r="L506" i="88"/>
  <c r="G68" i="70"/>
  <c r="H68" i="70"/>
  <c r="I68" i="70"/>
  <c r="J68" i="70"/>
  <c r="N695" i="88"/>
  <c r="L695" i="88"/>
  <c r="N697" i="88"/>
  <c r="L697" i="88"/>
  <c r="K68" i="70" l="1"/>
  <c r="L68" i="70"/>
  <c r="N505" i="88"/>
  <c r="J86" i="70" s="1"/>
  <c r="L505" i="88"/>
  <c r="N504" i="88"/>
  <c r="L504" i="88"/>
  <c r="N503" i="88"/>
  <c r="J88" i="70" s="1"/>
  <c r="L503" i="88"/>
  <c r="N531" i="88"/>
  <c r="L531" i="88"/>
  <c r="N502" i="88"/>
  <c r="L502" i="88"/>
  <c r="H86" i="70" s="1"/>
  <c r="N501" i="88"/>
  <c r="L501" i="88"/>
  <c r="H77" i="70" s="1"/>
  <c r="N500" i="88"/>
  <c r="L500" i="88"/>
  <c r="H88" i="70" s="1"/>
  <c r="E126" i="90" l="1"/>
  <c r="V184" i="90" l="1"/>
  <c r="V185" i="90"/>
  <c r="V183" i="90"/>
  <c r="L171" i="90" s="1"/>
  <c r="L712" i="88"/>
  <c r="N712" i="88"/>
  <c r="L713" i="88"/>
  <c r="N713" i="88"/>
  <c r="L714" i="88"/>
  <c r="N714" i="88"/>
  <c r="L715" i="88"/>
  <c r="N715" i="88"/>
  <c r="L716" i="88"/>
  <c r="N716" i="88"/>
  <c r="L717" i="88"/>
  <c r="N717" i="88"/>
  <c r="L718" i="88"/>
  <c r="N718" i="88"/>
  <c r="L719" i="88"/>
  <c r="N719" i="88"/>
  <c r="L720" i="88"/>
  <c r="N720" i="88"/>
  <c r="L721" i="88"/>
  <c r="N721" i="88"/>
  <c r="L722" i="88"/>
  <c r="N722" i="88"/>
  <c r="L723" i="88"/>
  <c r="H38" i="70" s="1"/>
  <c r="N723" i="88"/>
  <c r="J38" i="70" s="1"/>
  <c r="L187" i="88"/>
  <c r="N187" i="88"/>
  <c r="L188" i="88"/>
  <c r="N188" i="88"/>
  <c r="L189" i="88"/>
  <c r="N189" i="88"/>
  <c r="L194" i="88"/>
  <c r="N194" i="88"/>
  <c r="L195" i="88"/>
  <c r="N195" i="88"/>
  <c r="L211" i="88"/>
  <c r="N211" i="88"/>
  <c r="L212" i="88"/>
  <c r="N212" i="88"/>
  <c r="L213" i="88"/>
  <c r="N213" i="88"/>
  <c r="L190" i="88"/>
  <c r="N190" i="88"/>
  <c r="L191" i="88"/>
  <c r="N191" i="88"/>
  <c r="L192" i="88"/>
  <c r="N192" i="88"/>
  <c r="L193" i="88"/>
  <c r="N193" i="88"/>
  <c r="L196" i="88"/>
  <c r="N196" i="88"/>
  <c r="L197" i="88"/>
  <c r="N197" i="88"/>
  <c r="L198" i="88"/>
  <c r="N198" i="88"/>
  <c r="L199" i="88"/>
  <c r="N199" i="88"/>
  <c r="L203" i="88"/>
  <c r="N203" i="88"/>
  <c r="L204" i="88"/>
  <c r="N204" i="88"/>
  <c r="L205" i="88"/>
  <c r="N205" i="88"/>
  <c r="L206" i="88"/>
  <c r="N206" i="88"/>
  <c r="L207" i="88"/>
  <c r="N207" i="88"/>
  <c r="L208" i="88"/>
  <c r="N208" i="88"/>
  <c r="L209" i="88"/>
  <c r="N209" i="88"/>
  <c r="L210" i="88"/>
  <c r="N210" i="88"/>
  <c r="L214" i="88"/>
  <c r="N214" i="88"/>
  <c r="L215" i="88"/>
  <c r="N215" i="88"/>
  <c r="L216" i="88"/>
  <c r="N216" i="88"/>
  <c r="L217" i="88"/>
  <c r="N217" i="88"/>
  <c r="L218" i="88"/>
  <c r="N218" i="88"/>
  <c r="L219" i="88"/>
  <c r="N219" i="88"/>
  <c r="L220" i="88"/>
  <c r="N220" i="88"/>
  <c r="L221" i="88"/>
  <c r="N221" i="88"/>
  <c r="L222" i="88"/>
  <c r="N222" i="88"/>
  <c r="L223" i="88"/>
  <c r="N223" i="88"/>
  <c r="L228" i="88"/>
  <c r="N228" i="88"/>
  <c r="L225" i="88"/>
  <c r="N225" i="88"/>
  <c r="L227" i="88"/>
  <c r="N227" i="88"/>
  <c r="L229" i="88"/>
  <c r="N229" i="88"/>
  <c r="L230" i="88"/>
  <c r="N230" i="88"/>
  <c r="L231" i="88"/>
  <c r="N231" i="88"/>
  <c r="L232" i="88"/>
  <c r="N232" i="88"/>
  <c r="L233" i="88"/>
  <c r="N233" i="88"/>
  <c r="L234" i="88"/>
  <c r="N234" i="88"/>
  <c r="L247" i="88"/>
  <c r="N247" i="88"/>
  <c r="L248" i="88"/>
  <c r="N248" i="88"/>
  <c r="L249" i="88"/>
  <c r="N249" i="88"/>
  <c r="L250" i="88"/>
  <c r="N250" i="88"/>
  <c r="L251" i="88"/>
  <c r="N251" i="88"/>
  <c r="L252" i="88"/>
  <c r="N252" i="88"/>
  <c r="L253" i="88"/>
  <c r="N253" i="88"/>
  <c r="L254" i="88"/>
  <c r="N254" i="88"/>
  <c r="L257" i="88"/>
  <c r="N257" i="88"/>
  <c r="L258" i="88"/>
  <c r="N258" i="88"/>
  <c r="L259" i="88"/>
  <c r="N259" i="88"/>
  <c r="L235" i="88"/>
  <c r="N235" i="88"/>
  <c r="L236" i="88"/>
  <c r="N236" i="88"/>
  <c r="L237" i="88"/>
  <c r="N237" i="88"/>
  <c r="L238" i="88"/>
  <c r="N238" i="88"/>
  <c r="L239" i="88"/>
  <c r="N239" i="88"/>
  <c r="L240" i="88"/>
  <c r="N240" i="88"/>
  <c r="L241" i="88"/>
  <c r="N241" i="88"/>
  <c r="L242" i="88"/>
  <c r="N242" i="88"/>
  <c r="L243" i="88"/>
  <c r="N243" i="88"/>
  <c r="L255" i="88"/>
  <c r="N255" i="88"/>
  <c r="L244" i="88"/>
  <c r="N244" i="88"/>
  <c r="L260" i="88"/>
  <c r="N260" i="88"/>
  <c r="L256" i="88"/>
  <c r="N256" i="88"/>
  <c r="L245" i="88"/>
  <c r="N245" i="88"/>
  <c r="L246" i="88"/>
  <c r="N246" i="88"/>
  <c r="L724" i="88"/>
  <c r="N724" i="88"/>
  <c r="L725" i="88"/>
  <c r="N725" i="88"/>
  <c r="L726" i="88"/>
  <c r="N726" i="88"/>
  <c r="L727" i="88"/>
  <c r="N727" i="88"/>
  <c r="L728" i="88"/>
  <c r="N728" i="88"/>
  <c r="L729" i="88"/>
  <c r="N729" i="88"/>
  <c r="L731" i="88"/>
  <c r="N731" i="88"/>
  <c r="L732" i="88"/>
  <c r="N732" i="88"/>
  <c r="L733" i="88"/>
  <c r="N733" i="88"/>
  <c r="L734" i="88"/>
  <c r="N734" i="88"/>
  <c r="L735" i="88"/>
  <c r="N735" i="88"/>
  <c r="L736" i="88"/>
  <c r="H32" i="70" s="1"/>
  <c r="N736" i="88"/>
  <c r="J32" i="70" s="1"/>
  <c r="L737" i="88"/>
  <c r="N737" i="88"/>
  <c r="L738" i="88"/>
  <c r="H46" i="70" s="1"/>
  <c r="N738" i="88"/>
  <c r="J46" i="70" s="1"/>
  <c r="L739" i="88"/>
  <c r="N739" i="88"/>
  <c r="L740" i="88"/>
  <c r="N740" i="88"/>
  <c r="L741" i="88"/>
  <c r="H37" i="70" s="1"/>
  <c r="N741" i="88"/>
  <c r="J37" i="70" s="1"/>
  <c r="L742" i="88"/>
  <c r="H42" i="70" s="1"/>
  <c r="N742" i="88"/>
  <c r="J42" i="70" s="1"/>
  <c r="L744" i="88"/>
  <c r="N744" i="88"/>
  <c r="L747" i="88"/>
  <c r="N747" i="88"/>
  <c r="L748" i="88"/>
  <c r="N748" i="88"/>
  <c r="L711" i="88"/>
  <c r="N711" i="88"/>
  <c r="L46" i="70" l="1"/>
  <c r="H56" i="70"/>
  <c r="H55" i="70"/>
  <c r="L37" i="70"/>
  <c r="J56" i="70"/>
  <c r="J55" i="70"/>
  <c r="L42" i="70"/>
  <c r="L32" i="70"/>
  <c r="L38" i="70"/>
  <c r="V188" i="90"/>
  <c r="L172" i="90"/>
  <c r="L56" i="70" l="1"/>
  <c r="L55" i="70"/>
  <c r="L682" i="88"/>
  <c r="N682" i="88"/>
  <c r="L685" i="88" l="1"/>
  <c r="N685" i="88"/>
  <c r="L684" i="88"/>
  <c r="N684" i="88"/>
  <c r="L683" i="88"/>
  <c r="N683" i="88"/>
  <c r="V102" i="90" l="1"/>
  <c r="V103" i="90"/>
  <c r="V110" i="90"/>
  <c r="V111" i="90"/>
  <c r="N664" i="88"/>
  <c r="L664" i="88"/>
  <c r="N663" i="88"/>
  <c r="L663" i="88"/>
  <c r="N662" i="88"/>
  <c r="L662" i="88"/>
  <c r="M156" i="88"/>
  <c r="K147" i="88"/>
  <c r="K146" i="88"/>
  <c r="D145" i="90" l="1"/>
  <c r="G145" i="90" s="1"/>
  <c r="K86" i="70" l="1"/>
  <c r="L86" i="70"/>
  <c r="V86" i="90" l="1"/>
  <c r="V87" i="90"/>
  <c r="V159" i="90" l="1"/>
  <c r="L144" i="90" s="1"/>
  <c r="V160" i="90"/>
  <c r="V161" i="90"/>
  <c r="V162" i="90"/>
  <c r="V163" i="90"/>
  <c r="V158" i="90"/>
  <c r="L143" i="90" s="1"/>
  <c r="B57" i="70"/>
  <c r="V134" i="90"/>
  <c r="V164" i="90" l="1"/>
  <c r="L146" i="90"/>
  <c r="L145" i="90"/>
  <c r="K88" i="70"/>
  <c r="L88" i="70"/>
  <c r="N494" i="88"/>
  <c r="L494" i="88"/>
  <c r="N493" i="88"/>
  <c r="L493" i="88"/>
  <c r="N497" i="88"/>
  <c r="L497" i="88"/>
  <c r="N496" i="88"/>
  <c r="L496" i="88"/>
  <c r="N495" i="88"/>
  <c r="L495" i="88"/>
  <c r="N157" i="88"/>
  <c r="L157" i="88"/>
  <c r="N155" i="88"/>
  <c r="L155" i="88"/>
  <c r="N153" i="88"/>
  <c r="L153" i="88"/>
  <c r="N149" i="88"/>
  <c r="L149" i="88"/>
  <c r="N148" i="88"/>
  <c r="L148" i="88"/>
  <c r="N144" i="88"/>
  <c r="L144" i="88"/>
  <c r="N143" i="88"/>
  <c r="L143" i="88"/>
  <c r="N139" i="88"/>
  <c r="L139" i="88"/>
  <c r="N138" i="88"/>
  <c r="L138" i="88"/>
  <c r="N137" i="88"/>
  <c r="L137" i="88"/>
  <c r="N529" i="88"/>
  <c r="L529" i="88"/>
  <c r="H12" i="91"/>
  <c r="V133" i="90" l="1"/>
  <c r="L124" i="90"/>
  <c r="V135" i="90"/>
  <c r="V132" i="90"/>
  <c r="L123" i="90" l="1"/>
  <c r="O123" i="90"/>
  <c r="L669" i="88" l="1"/>
  <c r="N669" i="88"/>
  <c r="L670" i="88"/>
  <c r="N670" i="88"/>
  <c r="E16" i="91"/>
  <c r="D5" i="91" l="1"/>
  <c r="B11" i="91"/>
  <c r="W310" i="90"/>
  <c r="V307" i="90"/>
  <c r="V306" i="90"/>
  <c r="O306" i="90"/>
  <c r="L306" i="90"/>
  <c r="L308" i="90" s="1"/>
  <c r="V305" i="90"/>
  <c r="A305" i="90"/>
  <c r="V304" i="90"/>
  <c r="M304" i="90"/>
  <c r="D304" i="90"/>
  <c r="G304" i="90" s="1"/>
  <c r="A304" i="90"/>
  <c r="V303" i="90"/>
  <c r="D303" i="90"/>
  <c r="G303" i="90" s="1"/>
  <c r="A303" i="90"/>
  <c r="V302" i="90"/>
  <c r="M302" i="90"/>
  <c r="D302" i="90"/>
  <c r="G302" i="90" s="1"/>
  <c r="V301" i="90"/>
  <c r="D301" i="90"/>
  <c r="G301" i="90" s="1"/>
  <c r="V300" i="90"/>
  <c r="D300" i="90"/>
  <c r="G300" i="90" s="1"/>
  <c r="V299" i="90"/>
  <c r="V310" i="90" s="1"/>
  <c r="M299" i="90"/>
  <c r="D299" i="90"/>
  <c r="G299" i="90" s="1"/>
  <c r="A299" i="90"/>
  <c r="A300" i="90" s="1"/>
  <c r="A301" i="90" s="1"/>
  <c r="A302" i="90" s="1"/>
  <c r="W285" i="90"/>
  <c r="V283" i="90"/>
  <c r="V282" i="90"/>
  <c r="V281" i="90"/>
  <c r="O281" i="90"/>
  <c r="L281" i="90"/>
  <c r="V280" i="90"/>
  <c r="A280" i="90"/>
  <c r="V279" i="90"/>
  <c r="M279" i="90"/>
  <c r="V278" i="90"/>
  <c r="D278" i="90"/>
  <c r="G278" i="90" s="1"/>
  <c r="V277" i="90"/>
  <c r="M277" i="90"/>
  <c r="D277" i="90"/>
  <c r="G277" i="90" s="1"/>
  <c r="V276" i="90"/>
  <c r="D276" i="90"/>
  <c r="G276" i="90" s="1"/>
  <c r="V275" i="90"/>
  <c r="D275" i="90"/>
  <c r="G275" i="90" s="1"/>
  <c r="V274" i="90"/>
  <c r="M274" i="90"/>
  <c r="D274" i="90"/>
  <c r="G274" i="90" s="1"/>
  <c r="A274" i="90"/>
  <c r="A275" i="90" s="1"/>
  <c r="A276" i="90" s="1"/>
  <c r="A277" i="90" s="1"/>
  <c r="A278" i="90" s="1"/>
  <c r="A279" i="90" s="1"/>
  <c r="W259" i="90"/>
  <c r="V257" i="90"/>
  <c r="V256" i="90"/>
  <c r="V255" i="90"/>
  <c r="O255" i="90"/>
  <c r="L255" i="90"/>
  <c r="V254" i="90"/>
  <c r="A254" i="90"/>
  <c r="V253" i="90"/>
  <c r="A253" i="90"/>
  <c r="V252" i="90"/>
  <c r="A252" i="90"/>
  <c r="V251" i="90"/>
  <c r="A251" i="90"/>
  <c r="V250" i="90"/>
  <c r="V249" i="90"/>
  <c r="V248" i="90"/>
  <c r="M255" i="90"/>
  <c r="A248" i="90"/>
  <c r="A249" i="90" s="1"/>
  <c r="A250" i="90" s="1"/>
  <c r="W232" i="90"/>
  <c r="O227" i="90"/>
  <c r="L227" i="90"/>
  <c r="A226" i="90"/>
  <c r="V225" i="90"/>
  <c r="V224" i="90"/>
  <c r="V223" i="90"/>
  <c r="V222" i="90"/>
  <c r="D222" i="90"/>
  <c r="V221" i="90"/>
  <c r="M221" i="90"/>
  <c r="D221" i="90"/>
  <c r="G221" i="90" s="1"/>
  <c r="A221" i="90"/>
  <c r="A222" i="90" s="1"/>
  <c r="A223" i="90" s="1"/>
  <c r="W206" i="90"/>
  <c r="O199" i="90"/>
  <c r="A198" i="90"/>
  <c r="M197" i="90"/>
  <c r="D197" i="90"/>
  <c r="G197" i="90" s="1"/>
  <c r="D195" i="90"/>
  <c r="G195" i="90" s="1"/>
  <c r="V194" i="90"/>
  <c r="M194" i="90"/>
  <c r="D194" i="90"/>
  <c r="A194" i="90"/>
  <c r="A195" i="90" s="1"/>
  <c r="A196" i="90" s="1"/>
  <c r="A197" i="90" s="1"/>
  <c r="W182" i="90"/>
  <c r="V180" i="90"/>
  <c r="V178" i="90"/>
  <c r="V177" i="90"/>
  <c r="O175" i="90"/>
  <c r="L175" i="90"/>
  <c r="V176" i="90"/>
  <c r="M174" i="90"/>
  <c r="D174" i="90"/>
  <c r="G174" i="90" s="1"/>
  <c r="A174" i="90"/>
  <c r="V175" i="90"/>
  <c r="V173" i="90"/>
  <c r="D173" i="90"/>
  <c r="G173" i="90" s="1"/>
  <c r="V172" i="90"/>
  <c r="D172" i="90"/>
  <c r="G172" i="90" s="1"/>
  <c r="V171" i="90"/>
  <c r="M171" i="90"/>
  <c r="D171" i="90"/>
  <c r="G171" i="90" s="1"/>
  <c r="A171" i="90"/>
  <c r="A172" i="90" s="1"/>
  <c r="A173" i="90" s="1"/>
  <c r="W157" i="90"/>
  <c r="V155" i="90"/>
  <c r="V154" i="90"/>
  <c r="V153" i="90"/>
  <c r="V152" i="90"/>
  <c r="V151" i="90"/>
  <c r="V150" i="90"/>
  <c r="O148" i="90"/>
  <c r="L148" i="90"/>
  <c r="V149" i="90"/>
  <c r="A147" i="90"/>
  <c r="V148" i="90"/>
  <c r="V147" i="90"/>
  <c r="V146" i="90"/>
  <c r="M146" i="90"/>
  <c r="D146" i="90"/>
  <c r="G146" i="90" s="1"/>
  <c r="V145" i="90"/>
  <c r="V144" i="90"/>
  <c r="D144" i="90"/>
  <c r="G144" i="90" s="1"/>
  <c r="V143" i="90"/>
  <c r="M143" i="90"/>
  <c r="D143" i="90"/>
  <c r="G143" i="90" s="1"/>
  <c r="A143" i="90"/>
  <c r="A144" i="90" s="1"/>
  <c r="A145" i="90" s="1"/>
  <c r="A146" i="90" s="1"/>
  <c r="V136" i="90"/>
  <c r="W131" i="90"/>
  <c r="V129" i="90"/>
  <c r="V128" i="90"/>
  <c r="V127" i="90"/>
  <c r="V126" i="90"/>
  <c r="O126" i="90"/>
  <c r="L126" i="90"/>
  <c r="V125" i="90"/>
  <c r="A125" i="90"/>
  <c r="D124" i="90"/>
  <c r="G124" i="90" s="1"/>
  <c r="M123" i="90"/>
  <c r="M126" i="90" s="1"/>
  <c r="D123" i="90"/>
  <c r="G123" i="90" s="1"/>
  <c r="A123" i="90"/>
  <c r="A124" i="90" s="1"/>
  <c r="V115" i="90"/>
  <c r="L102" i="90" s="1"/>
  <c r="V114" i="90"/>
  <c r="L101" i="90" s="1"/>
  <c r="W113" i="90"/>
  <c r="O104" i="90"/>
  <c r="A103" i="90"/>
  <c r="D102" i="90"/>
  <c r="G102" i="90" s="1"/>
  <c r="V101" i="90"/>
  <c r="V113" i="90" s="1"/>
  <c r="M101" i="90"/>
  <c r="D101" i="90"/>
  <c r="A101" i="90"/>
  <c r="A102" i="90" s="1"/>
  <c r="V95" i="90"/>
  <c r="L73" i="90" s="1"/>
  <c r="V94" i="90"/>
  <c r="V93" i="90"/>
  <c r="V92" i="90"/>
  <c r="V91" i="90"/>
  <c r="V90" i="90"/>
  <c r="V89" i="90"/>
  <c r="V88" i="90"/>
  <c r="L69" i="90" s="1"/>
  <c r="V85" i="90"/>
  <c r="V84" i="90"/>
  <c r="V83" i="90"/>
  <c r="L67" i="90" s="1"/>
  <c r="W82" i="90"/>
  <c r="V80" i="90"/>
  <c r="V79" i="90"/>
  <c r="V78" i="90"/>
  <c r="V77" i="90"/>
  <c r="V76" i="90"/>
  <c r="O75" i="90"/>
  <c r="M75" i="90"/>
  <c r="V75" i="90"/>
  <c r="A74" i="90"/>
  <c r="V74" i="90"/>
  <c r="V73" i="90"/>
  <c r="D73" i="90"/>
  <c r="G73" i="90" s="1"/>
  <c r="V72" i="90"/>
  <c r="D72" i="90"/>
  <c r="G72" i="90" s="1"/>
  <c r="V71" i="90"/>
  <c r="D71" i="90"/>
  <c r="G71" i="90" s="1"/>
  <c r="V70" i="90"/>
  <c r="D70" i="90"/>
  <c r="G70" i="90" s="1"/>
  <c r="V69" i="90"/>
  <c r="D69" i="90"/>
  <c r="G69" i="90" s="1"/>
  <c r="V68" i="90"/>
  <c r="D68" i="90"/>
  <c r="G68" i="90" s="1"/>
  <c r="V67" i="90"/>
  <c r="D67" i="90"/>
  <c r="A67" i="90"/>
  <c r="A68" i="90" s="1"/>
  <c r="A69" i="90" s="1"/>
  <c r="A70" i="90" s="1"/>
  <c r="A71" i="90" s="1"/>
  <c r="A72" i="90" s="1"/>
  <c r="A73" i="90" s="1"/>
  <c r="V60" i="90"/>
  <c r="V59" i="90"/>
  <c r="V58" i="90"/>
  <c r="V57" i="90"/>
  <c r="L37" i="90" s="1"/>
  <c r="V56" i="90"/>
  <c r="V55" i="90"/>
  <c r="V54" i="90"/>
  <c r="V53" i="90"/>
  <c r="V52" i="90"/>
  <c r="V51" i="90"/>
  <c r="V50" i="90"/>
  <c r="W49" i="90"/>
  <c r="V47" i="90"/>
  <c r="V46" i="90"/>
  <c r="V45" i="90"/>
  <c r="V44" i="90"/>
  <c r="V43" i="90"/>
  <c r="V42" i="90"/>
  <c r="V41" i="90"/>
  <c r="V40" i="90"/>
  <c r="M40" i="90"/>
  <c r="V39" i="90"/>
  <c r="A39" i="90"/>
  <c r="V38" i="90"/>
  <c r="D38" i="90"/>
  <c r="G38" i="90" s="1"/>
  <c r="V37" i="90"/>
  <c r="D37" i="90"/>
  <c r="G37" i="90" s="1"/>
  <c r="V36" i="90"/>
  <c r="O36" i="90"/>
  <c r="D36" i="90" s="1"/>
  <c r="G36" i="90" s="1"/>
  <c r="V35" i="90"/>
  <c r="O35" i="90"/>
  <c r="D35" i="90" s="1"/>
  <c r="G35" i="90" s="1"/>
  <c r="V34" i="90"/>
  <c r="O34" i="90"/>
  <c r="D34" i="90" s="1"/>
  <c r="G34" i="90" s="1"/>
  <c r="A34" i="90"/>
  <c r="A35" i="90" s="1"/>
  <c r="A36" i="90" s="1"/>
  <c r="A37" i="90" s="1"/>
  <c r="A38" i="90" s="1"/>
  <c r="V28" i="90"/>
  <c r="V27" i="90"/>
  <c r="L9" i="90" s="1"/>
  <c r="V26" i="90"/>
  <c r="L8" i="90" s="1"/>
  <c r="V25" i="90"/>
  <c r="V24" i="90"/>
  <c r="V23" i="90"/>
  <c r="W22" i="90"/>
  <c r="V20" i="90"/>
  <c r="V19" i="90"/>
  <c r="V18" i="90"/>
  <c r="V17" i="90"/>
  <c r="V16" i="90"/>
  <c r="V15" i="90"/>
  <c r="V14" i="90"/>
  <c r="V13" i="90"/>
  <c r="V12" i="90"/>
  <c r="V11" i="90"/>
  <c r="M11" i="90"/>
  <c r="V10" i="90"/>
  <c r="P10" i="90"/>
  <c r="A10" i="90"/>
  <c r="V9" i="90"/>
  <c r="D9" i="90"/>
  <c r="G9" i="90" s="1"/>
  <c r="V8" i="90"/>
  <c r="D8" i="90"/>
  <c r="G8" i="90" s="1"/>
  <c r="V7" i="90"/>
  <c r="O7" i="90"/>
  <c r="O11" i="90" s="1"/>
  <c r="A7" i="90"/>
  <c r="A8" i="90" s="1"/>
  <c r="A9" i="90" s="1"/>
  <c r="C12" i="91"/>
  <c r="L71" i="90" l="1"/>
  <c r="L72" i="90"/>
  <c r="L104" i="90"/>
  <c r="D7" i="90"/>
  <c r="O40" i="90"/>
  <c r="L34" i="90"/>
  <c r="L35" i="90"/>
  <c r="V232" i="90"/>
  <c r="H227" i="90" s="1"/>
  <c r="V157" i="90"/>
  <c r="H148" i="90" s="1"/>
  <c r="L7" i="90"/>
  <c r="L11" i="90" s="1"/>
  <c r="L38" i="90"/>
  <c r="M306" i="90"/>
  <c r="V22" i="90"/>
  <c r="H11" i="90" s="1"/>
  <c r="V49" i="90"/>
  <c r="H40" i="90" s="1"/>
  <c r="M104" i="90"/>
  <c r="D11" i="90"/>
  <c r="K8" i="90" s="1"/>
  <c r="L36" i="90"/>
  <c r="M281" i="90"/>
  <c r="V182" i="90"/>
  <c r="H175" i="90" s="1"/>
  <c r="D75" i="90"/>
  <c r="K68" i="90" s="1"/>
  <c r="V82" i="90"/>
  <c r="H75" i="90" s="1"/>
  <c r="L68" i="90"/>
  <c r="M148" i="90"/>
  <c r="V206" i="90"/>
  <c r="H199" i="90" s="1"/>
  <c r="H306" i="90"/>
  <c r="G7" i="90"/>
  <c r="G11" i="90" s="1"/>
  <c r="L70" i="90"/>
  <c r="M175" i="90"/>
  <c r="M199" i="90"/>
  <c r="M227" i="90"/>
  <c r="V259" i="90"/>
  <c r="H255" i="90" s="1"/>
  <c r="V285" i="90"/>
  <c r="H281" i="90" s="1"/>
  <c r="D40" i="90"/>
  <c r="J35" i="90" s="1"/>
  <c r="V131" i="90"/>
  <c r="H126" i="90" s="1"/>
  <c r="H104" i="90"/>
  <c r="V117" i="90"/>
  <c r="D104" i="90"/>
  <c r="G101" i="90"/>
  <c r="G104" i="90" s="1"/>
  <c r="H13" i="91"/>
  <c r="H14" i="91" s="1"/>
  <c r="G126" i="90"/>
  <c r="G281" i="90"/>
  <c r="G306" i="90"/>
  <c r="C13" i="91"/>
  <c r="C14" i="91" s="1"/>
  <c r="G40" i="90"/>
  <c r="I71" i="90"/>
  <c r="G148" i="90"/>
  <c r="G175" i="90"/>
  <c r="D126" i="90"/>
  <c r="D148" i="90"/>
  <c r="D175" i="90"/>
  <c r="D199" i="90"/>
  <c r="D227" i="90"/>
  <c r="I221" i="90" s="1"/>
  <c r="D255" i="90"/>
  <c r="I253" i="90" s="1"/>
  <c r="D281" i="90"/>
  <c r="D306" i="90"/>
  <c r="G67" i="90"/>
  <c r="I248" i="90" l="1"/>
  <c r="K248" i="90"/>
  <c r="H249" i="90"/>
  <c r="J249" i="90"/>
  <c r="H250" i="90"/>
  <c r="J250" i="90"/>
  <c r="H251" i="90"/>
  <c r="J251" i="90"/>
  <c r="H252" i="90"/>
  <c r="J252" i="90"/>
  <c r="H248" i="90"/>
  <c r="J248" i="90"/>
  <c r="I249" i="90"/>
  <c r="K249" i="90"/>
  <c r="I250" i="90"/>
  <c r="K250" i="90"/>
  <c r="I251" i="90"/>
  <c r="K251" i="90"/>
  <c r="I252" i="90"/>
  <c r="K252" i="90"/>
  <c r="J253" i="90"/>
  <c r="H253" i="90"/>
  <c r="K253" i="90"/>
  <c r="K36" i="90"/>
  <c r="K72" i="90"/>
  <c r="J8" i="90"/>
  <c r="I70" i="90"/>
  <c r="J68" i="90"/>
  <c r="K73" i="90"/>
  <c r="I8" i="90"/>
  <c r="I68" i="90"/>
  <c r="J71" i="90"/>
  <c r="I67" i="90"/>
  <c r="K69" i="90"/>
  <c r="J72" i="90"/>
  <c r="I7" i="90"/>
  <c r="K9" i="90"/>
  <c r="J9" i="90"/>
  <c r="H38" i="90"/>
  <c r="J67" i="90"/>
  <c r="J69" i="90"/>
  <c r="K70" i="90"/>
  <c r="I72" i="90"/>
  <c r="J73" i="90"/>
  <c r="K67" i="90"/>
  <c r="I69" i="90"/>
  <c r="J70" i="90"/>
  <c r="K71" i="90"/>
  <c r="I73" i="90"/>
  <c r="J37" i="90"/>
  <c r="J38" i="90"/>
  <c r="H7" i="90"/>
  <c r="J7" i="90"/>
  <c r="I9" i="90"/>
  <c r="K7" i="90"/>
  <c r="H73" i="90"/>
  <c r="L40" i="90"/>
  <c r="I196" i="90"/>
  <c r="I195" i="90"/>
  <c r="I197" i="90"/>
  <c r="L75" i="90"/>
  <c r="I194" i="90"/>
  <c r="I224" i="90"/>
  <c r="I222" i="90"/>
  <c r="I223" i="90"/>
  <c r="I225" i="90"/>
  <c r="H223" i="90"/>
  <c r="J223" i="90"/>
  <c r="K224" i="90"/>
  <c r="H225" i="90"/>
  <c r="J225" i="90"/>
  <c r="K223" i="90"/>
  <c r="H224" i="90"/>
  <c r="J224" i="90"/>
  <c r="K225" i="90"/>
  <c r="H196" i="90"/>
  <c r="J196" i="90"/>
  <c r="K196" i="90"/>
  <c r="H72" i="90"/>
  <c r="H9" i="90"/>
  <c r="K37" i="90"/>
  <c r="K35" i="90"/>
  <c r="H69" i="90"/>
  <c r="H70" i="90"/>
  <c r="J36" i="90"/>
  <c r="J34" i="90"/>
  <c r="I38" i="90"/>
  <c r="H8" i="90"/>
  <c r="I37" i="90"/>
  <c r="I36" i="90"/>
  <c r="I35" i="90"/>
  <c r="H67" i="90"/>
  <c r="H71" i="90"/>
  <c r="H68" i="90"/>
  <c r="H37" i="90"/>
  <c r="H36" i="90"/>
  <c r="H35" i="90"/>
  <c r="H34" i="90"/>
  <c r="K38" i="90"/>
  <c r="I276" i="90"/>
  <c r="I278" i="90"/>
  <c r="I274" i="90"/>
  <c r="J275" i="90"/>
  <c r="H276" i="90"/>
  <c r="K276" i="90"/>
  <c r="J277" i="90"/>
  <c r="H278" i="90"/>
  <c r="K278" i="90"/>
  <c r="J279" i="90"/>
  <c r="J274" i="90"/>
  <c r="H274" i="90"/>
  <c r="I275" i="90"/>
  <c r="I277" i="90"/>
  <c r="I279" i="90"/>
  <c r="H275" i="90"/>
  <c r="K275" i="90"/>
  <c r="J276" i="90"/>
  <c r="H277" i="90"/>
  <c r="K277" i="90"/>
  <c r="J278" i="90"/>
  <c r="H279" i="90"/>
  <c r="K279" i="90"/>
  <c r="K274" i="90"/>
  <c r="H222" i="90"/>
  <c r="K222" i="90"/>
  <c r="K221" i="90"/>
  <c r="J222" i="90"/>
  <c r="J221" i="90"/>
  <c r="H221" i="90"/>
  <c r="I301" i="90"/>
  <c r="I303" i="90"/>
  <c r="I299" i="90"/>
  <c r="J300" i="90"/>
  <c r="H301" i="90"/>
  <c r="K301" i="90"/>
  <c r="J302" i="90"/>
  <c r="H303" i="90"/>
  <c r="K303" i="90"/>
  <c r="J304" i="90"/>
  <c r="J299" i="90"/>
  <c r="H299" i="90"/>
  <c r="I300" i="90"/>
  <c r="I302" i="90"/>
  <c r="I304" i="90"/>
  <c r="H300" i="90"/>
  <c r="K300" i="90"/>
  <c r="J301" i="90"/>
  <c r="H302" i="90"/>
  <c r="K302" i="90"/>
  <c r="J303" i="90"/>
  <c r="H304" i="90"/>
  <c r="K304" i="90"/>
  <c r="K299" i="90"/>
  <c r="I144" i="90"/>
  <c r="I146" i="90"/>
  <c r="I145" i="90"/>
  <c r="I143" i="90"/>
  <c r="H195" i="90"/>
  <c r="K195" i="90"/>
  <c r="J197" i="90"/>
  <c r="J194" i="90"/>
  <c r="H194" i="90"/>
  <c r="J195" i="90"/>
  <c r="H197" i="90"/>
  <c r="K197" i="90"/>
  <c r="K194" i="90"/>
  <c r="I171" i="90"/>
  <c r="I173" i="90"/>
  <c r="H172" i="90"/>
  <c r="K172" i="90"/>
  <c r="J173" i="90"/>
  <c r="H174" i="90"/>
  <c r="K174" i="90"/>
  <c r="J171" i="90"/>
  <c r="I172" i="90"/>
  <c r="I174" i="90"/>
  <c r="J172" i="90"/>
  <c r="H173" i="90"/>
  <c r="K173" i="90"/>
  <c r="J174" i="90"/>
  <c r="K171" i="90"/>
  <c r="H171" i="90"/>
  <c r="I124" i="90"/>
  <c r="I123" i="90"/>
  <c r="H123" i="90"/>
  <c r="H124" i="90"/>
  <c r="I34" i="90"/>
  <c r="K34" i="90"/>
  <c r="H144" i="90"/>
  <c r="J144" i="90"/>
  <c r="H145" i="90"/>
  <c r="N145" i="90" s="1"/>
  <c r="J145" i="90"/>
  <c r="H146" i="90"/>
  <c r="J146" i="90"/>
  <c r="H143" i="90"/>
  <c r="K143" i="90"/>
  <c r="K144" i="90"/>
  <c r="K145" i="90"/>
  <c r="K146" i="90"/>
  <c r="J143" i="90"/>
  <c r="H102" i="90"/>
  <c r="J102" i="90"/>
  <c r="H101" i="90"/>
  <c r="J101" i="90"/>
  <c r="K101" i="90"/>
  <c r="I102" i="90"/>
  <c r="K102" i="90"/>
  <c r="I101" i="90"/>
  <c r="G75" i="90"/>
  <c r="J124" i="90"/>
  <c r="K123" i="90"/>
  <c r="K124" i="90"/>
  <c r="J123" i="90"/>
  <c r="G12" i="91"/>
  <c r="F12" i="91"/>
  <c r="D12" i="91"/>
  <c r="E12" i="91"/>
  <c r="N302" i="90" l="1"/>
  <c r="P302" i="90" s="1"/>
  <c r="P248" i="90"/>
  <c r="N221" i="90"/>
  <c r="P221" i="90" s="1"/>
  <c r="N146" i="90"/>
  <c r="N144" i="90"/>
  <c r="P144" i="90" s="1"/>
  <c r="N8" i="90"/>
  <c r="P8" i="90" s="1"/>
  <c r="N124" i="90"/>
  <c r="N252" i="90"/>
  <c r="P252" i="90" s="1"/>
  <c r="N251" i="90"/>
  <c r="P251" i="90" s="1"/>
  <c r="P250" i="90"/>
  <c r="N249" i="90"/>
  <c r="P249" i="90" s="1"/>
  <c r="N73" i="90"/>
  <c r="P73" i="90" s="1"/>
  <c r="N253" i="90"/>
  <c r="P253" i="90" s="1"/>
  <c r="N37" i="90"/>
  <c r="P37" i="90" s="1"/>
  <c r="N71" i="90"/>
  <c r="P71" i="90" s="1"/>
  <c r="N68" i="90"/>
  <c r="P68" i="90" s="1"/>
  <c r="N9" i="90"/>
  <c r="P9" i="90" s="1"/>
  <c r="N67" i="90"/>
  <c r="P67" i="90" s="1"/>
  <c r="N70" i="90"/>
  <c r="P70" i="90" s="1"/>
  <c r="N7" i="90"/>
  <c r="P7" i="90" s="1"/>
  <c r="N38" i="90"/>
  <c r="P38" i="90" s="1"/>
  <c r="N69" i="90"/>
  <c r="P69" i="90" s="1"/>
  <c r="N72" i="90"/>
  <c r="P72" i="90" s="1"/>
  <c r="N36" i="90"/>
  <c r="P36" i="90" s="1"/>
  <c r="N224" i="90"/>
  <c r="P224" i="90" s="1"/>
  <c r="N225" i="90"/>
  <c r="P225" i="90" s="1"/>
  <c r="N223" i="90"/>
  <c r="P223" i="90" s="1"/>
  <c r="N196" i="90"/>
  <c r="P196" i="90" s="1"/>
  <c r="P279" i="90"/>
  <c r="N275" i="90"/>
  <c r="P275" i="90" s="1"/>
  <c r="N35" i="90"/>
  <c r="P35" i="90" s="1"/>
  <c r="N301" i="90"/>
  <c r="P301" i="90" s="1"/>
  <c r="N197" i="90"/>
  <c r="P197" i="90" s="1"/>
  <c r="F222" i="90" s="1"/>
  <c r="G222" i="90" s="1"/>
  <c r="G227" i="90" s="1"/>
  <c r="N299" i="90"/>
  <c r="P299" i="90" s="1"/>
  <c r="N274" i="90"/>
  <c r="P274" i="90" s="1"/>
  <c r="D13" i="91"/>
  <c r="D14" i="91" s="1"/>
  <c r="F13" i="91"/>
  <c r="F14" i="91" s="1"/>
  <c r="N278" i="90"/>
  <c r="P278" i="90" s="1"/>
  <c r="N102" i="90"/>
  <c r="P102" i="90" s="1"/>
  <c r="N304" i="90"/>
  <c r="P304" i="90" s="1"/>
  <c r="N300" i="90"/>
  <c r="P300" i="90" s="1"/>
  <c r="N303" i="90"/>
  <c r="P303" i="90" s="1"/>
  <c r="N277" i="90"/>
  <c r="P277" i="90" s="1"/>
  <c r="N276" i="90"/>
  <c r="P276" i="90" s="1"/>
  <c r="N195" i="90"/>
  <c r="P195" i="90" s="1"/>
  <c r="N171" i="90"/>
  <c r="P171" i="90" s="1"/>
  <c r="N173" i="90"/>
  <c r="P173" i="90" s="1"/>
  <c r="F194" i="90" s="1"/>
  <c r="N174" i="90"/>
  <c r="P174" i="90" s="1"/>
  <c r="N172" i="90"/>
  <c r="P172" i="90" s="1"/>
  <c r="N143" i="90"/>
  <c r="P143" i="90" s="1"/>
  <c r="B12" i="91"/>
  <c r="E13" i="91"/>
  <c r="E14" i="91" s="1"/>
  <c r="G13" i="91"/>
  <c r="G14" i="91" s="1"/>
  <c r="N34" i="90"/>
  <c r="N101" i="90"/>
  <c r="P101" i="90" s="1"/>
  <c r="P145" i="90"/>
  <c r="N123" i="90"/>
  <c r="P124" i="90"/>
  <c r="B13" i="91"/>
  <c r="N222" i="90" l="1"/>
  <c r="N227" i="90" s="1"/>
  <c r="N75" i="90"/>
  <c r="N11" i="90"/>
  <c r="N255" i="90"/>
  <c r="G194" i="90"/>
  <c r="N281" i="90"/>
  <c r="N306" i="90"/>
  <c r="P146" i="90"/>
  <c r="B14" i="91"/>
  <c r="N175" i="90"/>
  <c r="P34" i="90"/>
  <c r="N40" i="90"/>
  <c r="N148" i="90"/>
  <c r="N104" i="90"/>
  <c r="N126" i="90"/>
  <c r="P123" i="90"/>
  <c r="N194" i="90" l="1"/>
  <c r="P194" i="90" s="1"/>
  <c r="P222" i="90"/>
  <c r="G199" i="90"/>
  <c r="N491" i="88"/>
  <c r="L491" i="88"/>
  <c r="H87" i="70" s="1"/>
  <c r="N156" i="88"/>
  <c r="L156" i="88"/>
  <c r="N154" i="88"/>
  <c r="L154" i="88"/>
  <c r="N152" i="88"/>
  <c r="L152" i="88"/>
  <c r="N151" i="88"/>
  <c r="L151" i="88"/>
  <c r="N150" i="88"/>
  <c r="L150" i="88"/>
  <c r="N199" i="90" l="1"/>
  <c r="L123" i="88"/>
  <c r="N123" i="88"/>
  <c r="B89" i="70" l="1"/>
  <c r="A89" i="70" s="1"/>
  <c r="D7" i="87"/>
  <c r="N5" i="88"/>
  <c r="N6" i="88"/>
  <c r="N7" i="88"/>
  <c r="N8" i="88"/>
  <c r="N9" i="88"/>
  <c r="N10" i="88"/>
  <c r="N11" i="88"/>
  <c r="N12" i="88"/>
  <c r="N13" i="88"/>
  <c r="N14" i="88"/>
  <c r="N15" i="88"/>
  <c r="N16" i="88"/>
  <c r="N17" i="88"/>
  <c r="N18" i="88"/>
  <c r="N19" i="88"/>
  <c r="N20" i="88"/>
  <c r="N21" i="88"/>
  <c r="N22" i="88"/>
  <c r="N23" i="88"/>
  <c r="N24" i="88"/>
  <c r="N25" i="88"/>
  <c r="N26" i="88"/>
  <c r="N27" i="88"/>
  <c r="N28" i="88"/>
  <c r="N29" i="88"/>
  <c r="N30" i="88"/>
  <c r="N31" i="88"/>
  <c r="N32" i="88"/>
  <c r="N33" i="88"/>
  <c r="N34" i="88"/>
  <c r="N35" i="88"/>
  <c r="N36" i="88"/>
  <c r="N37" i="88"/>
  <c r="N38" i="88"/>
  <c r="N39" i="88"/>
  <c r="N40" i="88"/>
  <c r="N41" i="88"/>
  <c r="N42" i="88"/>
  <c r="N43" i="88"/>
  <c r="N44" i="88"/>
  <c r="N45" i="88"/>
  <c r="N58" i="88"/>
  <c r="N59" i="88"/>
  <c r="N60" i="88"/>
  <c r="N61" i="88"/>
  <c r="N62" i="88"/>
  <c r="N63" i="88"/>
  <c r="N64" i="88"/>
  <c r="N65" i="88"/>
  <c r="N66" i="88"/>
  <c r="N67" i="88"/>
  <c r="N68" i="88"/>
  <c r="N69" i="88"/>
  <c r="N70" i="88"/>
  <c r="N71" i="88"/>
  <c r="N72" i="88"/>
  <c r="N73" i="88"/>
  <c r="N74" i="88"/>
  <c r="N75" i="88"/>
  <c r="N76" i="88"/>
  <c r="N77" i="88"/>
  <c r="N83" i="88"/>
  <c r="N84" i="88"/>
  <c r="N85" i="88"/>
  <c r="N86" i="88"/>
  <c r="N87" i="88"/>
  <c r="N88" i="88"/>
  <c r="N89" i="88"/>
  <c r="N90" i="88"/>
  <c r="N94" i="88"/>
  <c r="N95" i="88"/>
  <c r="N96" i="88"/>
  <c r="N97" i="88"/>
  <c r="N98" i="88"/>
  <c r="N99" i="88"/>
  <c r="N103" i="88"/>
  <c r="N100" i="88"/>
  <c r="N101" i="88"/>
  <c r="N102" i="88"/>
  <c r="N104" i="88"/>
  <c r="N105" i="88"/>
  <c r="N106" i="88"/>
  <c r="N107" i="88"/>
  <c r="N108" i="88"/>
  <c r="N109" i="88"/>
  <c r="N110" i="88"/>
  <c r="N111" i="88"/>
  <c r="N112" i="88"/>
  <c r="N113" i="88"/>
  <c r="N114" i="88"/>
  <c r="N115" i="88"/>
  <c r="N116" i="88"/>
  <c r="N46" i="88"/>
  <c r="N47" i="88"/>
  <c r="N48" i="88"/>
  <c r="N49" i="88"/>
  <c r="N50" i="88"/>
  <c r="N51" i="88"/>
  <c r="N52" i="88"/>
  <c r="N53" i="88"/>
  <c r="N54" i="88"/>
  <c r="N55" i="88"/>
  <c r="N56" i="88"/>
  <c r="N57" i="88"/>
  <c r="N78" i="88"/>
  <c r="N79" i="88"/>
  <c r="N80" i="88"/>
  <c r="N81" i="88"/>
  <c r="N82" i="88"/>
  <c r="N91" i="88"/>
  <c r="N92" i="88"/>
  <c r="N93" i="88"/>
  <c r="N117" i="88"/>
  <c r="N118" i="88"/>
  <c r="N119" i="88"/>
  <c r="N120" i="88"/>
  <c r="N121" i="88"/>
  <c r="N122" i="88"/>
  <c r="N124" i="88"/>
  <c r="N447" i="88"/>
  <c r="N448" i="88"/>
  <c r="N449" i="88"/>
  <c r="J77" i="70" s="1"/>
  <c r="N450" i="88"/>
  <c r="N451" i="88"/>
  <c r="N453" i="88"/>
  <c r="N454" i="88"/>
  <c r="N452" i="88"/>
  <c r="N455" i="88"/>
  <c r="N457" i="88"/>
  <c r="N458" i="88"/>
  <c r="N456" i="88"/>
  <c r="N459" i="88"/>
  <c r="N461" i="88"/>
  <c r="N462" i="88"/>
  <c r="N460" i="88"/>
  <c r="N463" i="88"/>
  <c r="N464" i="88"/>
  <c r="N465" i="88"/>
  <c r="N466" i="88"/>
  <c r="N467" i="88"/>
  <c r="N468" i="88"/>
  <c r="N469" i="88"/>
  <c r="N470" i="88"/>
  <c r="N471" i="88"/>
  <c r="N472" i="88"/>
  <c r="N474" i="88"/>
  <c r="N475" i="88"/>
  <c r="N473" i="88"/>
  <c r="N476" i="88"/>
  <c r="N477" i="88"/>
  <c r="N478" i="88"/>
  <c r="J85" i="70" s="1"/>
  <c r="N479" i="88"/>
  <c r="N480" i="88"/>
  <c r="N481" i="88"/>
  <c r="N482" i="88"/>
  <c r="N483" i="88"/>
  <c r="N484" i="88"/>
  <c r="N485" i="88"/>
  <c r="N486" i="88"/>
  <c r="N487" i="88"/>
  <c r="N488" i="88"/>
  <c r="N489" i="88"/>
  <c r="N490" i="88"/>
  <c r="N528" i="88"/>
  <c r="N527" i="88"/>
  <c r="N562" i="88"/>
  <c r="N563" i="88"/>
  <c r="N564" i="88"/>
  <c r="N565" i="88"/>
  <c r="N566" i="88"/>
  <c r="N567" i="88"/>
  <c r="N568" i="88"/>
  <c r="N569" i="88"/>
  <c r="J54" i="70" s="1"/>
  <c r="N570" i="88"/>
  <c r="N571" i="88"/>
  <c r="N572" i="88"/>
  <c r="N573" i="88"/>
  <c r="N574" i="88"/>
  <c r="N575" i="88"/>
  <c r="N576" i="88"/>
  <c r="N577" i="88"/>
  <c r="N578" i="88"/>
  <c r="N579" i="88"/>
  <c r="N580" i="88"/>
  <c r="N581" i="88"/>
  <c r="N582" i="88"/>
  <c r="N583" i="88"/>
  <c r="N584" i="88"/>
  <c r="J50" i="70" s="1"/>
  <c r="N585" i="88"/>
  <c r="N586" i="88"/>
  <c r="J44" i="70" s="1"/>
  <c r="N587" i="88"/>
  <c r="N588" i="88"/>
  <c r="N589" i="88"/>
  <c r="N590" i="88"/>
  <c r="N591" i="88"/>
  <c r="N592" i="88"/>
  <c r="N593" i="88"/>
  <c r="N594" i="88"/>
  <c r="N595" i="88"/>
  <c r="N596" i="88"/>
  <c r="N597" i="88"/>
  <c r="N598" i="88"/>
  <c r="N599" i="88"/>
  <c r="N600" i="88"/>
  <c r="N601" i="88"/>
  <c r="N602" i="88"/>
  <c r="N603" i="88"/>
  <c r="N604" i="88"/>
  <c r="N605" i="88"/>
  <c r="N606" i="88"/>
  <c r="N607" i="88"/>
  <c r="J41" i="70" s="1"/>
  <c r="N608" i="88"/>
  <c r="N609" i="88"/>
  <c r="N610" i="88"/>
  <c r="N611" i="88"/>
  <c r="N612" i="88"/>
  <c r="N613" i="88"/>
  <c r="N614" i="88"/>
  <c r="N615" i="88"/>
  <c r="N616" i="88"/>
  <c r="N617" i="88"/>
  <c r="N618" i="88"/>
  <c r="N619" i="88"/>
  <c r="N620" i="88"/>
  <c r="N621" i="88"/>
  <c r="N622" i="88"/>
  <c r="N623" i="88"/>
  <c r="N624" i="88"/>
  <c r="N625" i="88"/>
  <c r="N626" i="88"/>
  <c r="N627" i="88"/>
  <c r="N628" i="88"/>
  <c r="N629" i="88"/>
  <c r="N630" i="88"/>
  <c r="N631" i="88"/>
  <c r="N632" i="88"/>
  <c r="N633" i="88"/>
  <c r="J22" i="70" s="1"/>
  <c r="N635" i="88"/>
  <c r="N636" i="88"/>
  <c r="N637" i="88"/>
  <c r="J49" i="70" s="1"/>
  <c r="N638" i="88"/>
  <c r="N639" i="88"/>
  <c r="N640" i="88"/>
  <c r="N641" i="88"/>
  <c r="N642" i="88"/>
  <c r="N643" i="88"/>
  <c r="N644" i="88"/>
  <c r="N645" i="88"/>
  <c r="N646" i="88"/>
  <c r="N647" i="88"/>
  <c r="N648" i="88"/>
  <c r="N649" i="88"/>
  <c r="J47" i="70" s="1"/>
  <c r="N125" i="88"/>
  <c r="N126" i="88"/>
  <c r="N127" i="88"/>
  <c r="N128" i="88"/>
  <c r="N129" i="88"/>
  <c r="N130" i="88"/>
  <c r="N131" i="88"/>
  <c r="N132" i="88"/>
  <c r="N133" i="88"/>
  <c r="N134" i="88"/>
  <c r="N135" i="88"/>
  <c r="N136" i="88"/>
  <c r="N140" i="88"/>
  <c r="N141" i="88"/>
  <c r="N142" i="88"/>
  <c r="N145" i="88"/>
  <c r="N146" i="88"/>
  <c r="N147" i="88"/>
  <c r="N492" i="88"/>
  <c r="J87" i="70" s="1"/>
  <c r="N650" i="88"/>
  <c r="N651" i="88"/>
  <c r="N498" i="88"/>
  <c r="N499" i="88"/>
  <c r="N530" i="88"/>
  <c r="N665" i="88"/>
  <c r="N666" i="88"/>
  <c r="N667" i="88"/>
  <c r="N668" i="88"/>
  <c r="N652" i="88"/>
  <c r="N653" i="88"/>
  <c r="N654" i="88"/>
  <c r="N655" i="88"/>
  <c r="N656" i="88"/>
  <c r="N657" i="88"/>
  <c r="N658" i="88"/>
  <c r="N659" i="88"/>
  <c r="N660" i="88"/>
  <c r="N661" i="88"/>
  <c r="N158" i="88"/>
  <c r="N159" i="88"/>
  <c r="N160" i="88"/>
  <c r="N161" i="88"/>
  <c r="N162" i="88"/>
  <c r="N163" i="88"/>
  <c r="N164" i="88"/>
  <c r="N165" i="88"/>
  <c r="N166" i="88"/>
  <c r="N167" i="88"/>
  <c r="N168" i="88"/>
  <c r="N169" i="88"/>
  <c r="N170" i="88"/>
  <c r="N171" i="88"/>
  <c r="N172" i="88"/>
  <c r="N173" i="88"/>
  <c r="N174" i="88"/>
  <c r="N175" i="88"/>
  <c r="N176" i="88"/>
  <c r="N177" i="88"/>
  <c r="N178" i="88"/>
  <c r="N179" i="88"/>
  <c r="N180" i="88"/>
  <c r="N181" i="88"/>
  <c r="N182" i="88"/>
  <c r="N183" i="88"/>
  <c r="N184" i="88"/>
  <c r="N185" i="88"/>
  <c r="N186" i="88"/>
  <c r="N671" i="88"/>
  <c r="N672" i="88"/>
  <c r="N673" i="88"/>
  <c r="N674" i="88"/>
  <c r="N675" i="88"/>
  <c r="N676" i="88"/>
  <c r="N677" i="88"/>
  <c r="N678" i="88"/>
  <c r="N679" i="88"/>
  <c r="N680" i="88"/>
  <c r="J48" i="70" s="1"/>
  <c r="N681" i="88"/>
  <c r="N686" i="88"/>
  <c r="N687" i="88"/>
  <c r="N688" i="88"/>
  <c r="N689" i="88"/>
  <c r="N690" i="88"/>
  <c r="N691" i="88"/>
  <c r="N692" i="88"/>
  <c r="N693" i="88"/>
  <c r="N694" i="88"/>
  <c r="N699" i="88"/>
  <c r="N700" i="88"/>
  <c r="N701" i="88"/>
  <c r="N702" i="88"/>
  <c r="N703" i="88"/>
  <c r="L5" i="88"/>
  <c r="L6" i="88"/>
  <c r="L7" i="88"/>
  <c r="L8" i="88"/>
  <c r="L9" i="88"/>
  <c r="L10" i="88"/>
  <c r="L11" i="88"/>
  <c r="L12" i="88"/>
  <c r="L13" i="88"/>
  <c r="L14" i="88"/>
  <c r="L15" i="88"/>
  <c r="L16" i="88"/>
  <c r="L17" i="88"/>
  <c r="L18" i="88"/>
  <c r="L19" i="88"/>
  <c r="L20" i="88"/>
  <c r="L21" i="88"/>
  <c r="L22" i="88"/>
  <c r="L23" i="88"/>
  <c r="L24" i="88"/>
  <c r="L25" i="88"/>
  <c r="L26" i="88"/>
  <c r="L27" i="88"/>
  <c r="L28" i="88"/>
  <c r="L29" i="88"/>
  <c r="L30" i="88"/>
  <c r="L31" i="88"/>
  <c r="L32" i="88"/>
  <c r="L33" i="88"/>
  <c r="L34" i="88"/>
  <c r="L35" i="88"/>
  <c r="L36" i="88"/>
  <c r="L37" i="88"/>
  <c r="L38" i="88"/>
  <c r="L39" i="88"/>
  <c r="L40" i="88"/>
  <c r="L41" i="88"/>
  <c r="L42" i="88"/>
  <c r="L43" i="88"/>
  <c r="L44" i="88"/>
  <c r="L45" i="88"/>
  <c r="L58" i="88"/>
  <c r="L59" i="88"/>
  <c r="L60" i="88"/>
  <c r="L61" i="88"/>
  <c r="L62" i="88"/>
  <c r="L63" i="88"/>
  <c r="L64" i="88"/>
  <c r="L65" i="88"/>
  <c r="L66" i="88"/>
  <c r="L67" i="88"/>
  <c r="L68" i="88"/>
  <c r="L69" i="88"/>
  <c r="L70" i="88"/>
  <c r="L71" i="88"/>
  <c r="L72" i="88"/>
  <c r="L73" i="88"/>
  <c r="L74" i="88"/>
  <c r="L75" i="88"/>
  <c r="L76" i="88"/>
  <c r="L77" i="88"/>
  <c r="L83" i="88"/>
  <c r="L84" i="88"/>
  <c r="L85" i="88"/>
  <c r="L86" i="88"/>
  <c r="L87" i="88"/>
  <c r="L88" i="88"/>
  <c r="L89" i="88"/>
  <c r="L90" i="88"/>
  <c r="L94" i="88"/>
  <c r="L95" i="88"/>
  <c r="L96" i="88"/>
  <c r="L97" i="88"/>
  <c r="L98" i="88"/>
  <c r="L99" i="88"/>
  <c r="L103" i="88"/>
  <c r="L100" i="88"/>
  <c r="L101" i="88"/>
  <c r="L102" i="88"/>
  <c r="L104" i="88"/>
  <c r="L105" i="88"/>
  <c r="L106" i="88"/>
  <c r="L107" i="88"/>
  <c r="L108" i="88"/>
  <c r="L110" i="88"/>
  <c r="L111" i="88"/>
  <c r="L112" i="88"/>
  <c r="L113" i="88"/>
  <c r="L114" i="88"/>
  <c r="L115" i="88"/>
  <c r="L116" i="88"/>
  <c r="L46" i="88"/>
  <c r="L47" i="88"/>
  <c r="L48" i="88"/>
  <c r="L49" i="88"/>
  <c r="L50" i="88"/>
  <c r="L51" i="88"/>
  <c r="L52" i="88"/>
  <c r="L53" i="88"/>
  <c r="L54" i="88"/>
  <c r="L55" i="88"/>
  <c r="L56" i="88"/>
  <c r="L57" i="88"/>
  <c r="L78" i="88"/>
  <c r="L79" i="88"/>
  <c r="L80" i="88"/>
  <c r="L81" i="88"/>
  <c r="L82" i="88"/>
  <c r="L91" i="88"/>
  <c r="L92" i="88"/>
  <c r="L93" i="88"/>
  <c r="L117" i="88"/>
  <c r="L118" i="88"/>
  <c r="L119" i="88"/>
  <c r="L120" i="88"/>
  <c r="L121" i="88"/>
  <c r="L122" i="88"/>
  <c r="L124" i="88"/>
  <c r="L447" i="88"/>
  <c r="L448" i="88"/>
  <c r="L449" i="88"/>
  <c r="L450" i="88"/>
  <c r="L451" i="88"/>
  <c r="L453" i="88"/>
  <c r="L454" i="88"/>
  <c r="L452" i="88"/>
  <c r="L455" i="88"/>
  <c r="L457" i="88"/>
  <c r="L458" i="88"/>
  <c r="L456" i="88"/>
  <c r="L459" i="88"/>
  <c r="L461" i="88"/>
  <c r="L462" i="88"/>
  <c r="L460" i="88"/>
  <c r="L463" i="88"/>
  <c r="L464" i="88"/>
  <c r="L465" i="88"/>
  <c r="L466" i="88"/>
  <c r="L467" i="88"/>
  <c r="L468" i="88"/>
  <c r="L469" i="88"/>
  <c r="L470" i="88"/>
  <c r="L471" i="88"/>
  <c r="L472" i="88"/>
  <c r="L474" i="88"/>
  <c r="L475" i="88"/>
  <c r="L473" i="88"/>
  <c r="L476" i="88"/>
  <c r="L477" i="88"/>
  <c r="H85" i="70" s="1"/>
  <c r="L478" i="88"/>
  <c r="L479" i="88"/>
  <c r="L480" i="88"/>
  <c r="L481" i="88"/>
  <c r="L482" i="88"/>
  <c r="L483" i="88"/>
  <c r="L484" i="88"/>
  <c r="L485" i="88"/>
  <c r="L486" i="88"/>
  <c r="L487" i="88"/>
  <c r="L488" i="88"/>
  <c r="L489" i="88"/>
  <c r="L490" i="88"/>
  <c r="L528" i="88"/>
  <c r="L527" i="88"/>
  <c r="H73" i="70" s="1"/>
  <c r="L562" i="88"/>
  <c r="L563" i="88"/>
  <c r="L564" i="88"/>
  <c r="L565" i="88"/>
  <c r="L566" i="88"/>
  <c r="L567" i="88"/>
  <c r="L568" i="88"/>
  <c r="L569" i="88"/>
  <c r="H54" i="70" s="1"/>
  <c r="L570" i="88"/>
  <c r="L571" i="88"/>
  <c r="L572" i="88"/>
  <c r="L573" i="88"/>
  <c r="L574" i="88"/>
  <c r="L575" i="88"/>
  <c r="L576" i="88"/>
  <c r="L577" i="88"/>
  <c r="L578" i="88"/>
  <c r="L579" i="88"/>
  <c r="L580" i="88"/>
  <c r="L581" i="88"/>
  <c r="L582" i="88"/>
  <c r="L583" i="88"/>
  <c r="L584" i="88"/>
  <c r="H50" i="70" s="1"/>
  <c r="L585" i="88"/>
  <c r="L586" i="88"/>
  <c r="H44" i="70" s="1"/>
  <c r="L587" i="88"/>
  <c r="L588" i="88"/>
  <c r="L589" i="88"/>
  <c r="L590" i="88"/>
  <c r="L591" i="88"/>
  <c r="L592" i="88"/>
  <c r="L593" i="88"/>
  <c r="L594" i="88"/>
  <c r="L595" i="88"/>
  <c r="L596" i="88"/>
  <c r="L597" i="88"/>
  <c r="L598" i="88"/>
  <c r="L599" i="88"/>
  <c r="L600" i="88"/>
  <c r="L601" i="88"/>
  <c r="L602" i="88"/>
  <c r="L603" i="88"/>
  <c r="L604" i="88"/>
  <c r="L605" i="88"/>
  <c r="L606" i="88"/>
  <c r="L607" i="88"/>
  <c r="H41" i="70" s="1"/>
  <c r="L608" i="88"/>
  <c r="L609" i="88"/>
  <c r="L610" i="88"/>
  <c r="L611" i="88"/>
  <c r="L612" i="88"/>
  <c r="L613" i="88"/>
  <c r="L614" i="88"/>
  <c r="L615" i="88"/>
  <c r="L616" i="88"/>
  <c r="L617" i="88"/>
  <c r="L618" i="88"/>
  <c r="L619" i="88"/>
  <c r="L620" i="88"/>
  <c r="L621" i="88"/>
  <c r="L622" i="88"/>
  <c r="L623" i="88"/>
  <c r="L624" i="88"/>
  <c r="L625" i="88"/>
  <c r="L626" i="88"/>
  <c r="L627" i="88"/>
  <c r="L628" i="88"/>
  <c r="L629" i="88"/>
  <c r="L630" i="88"/>
  <c r="L631" i="88"/>
  <c r="L632" i="88"/>
  <c r="L633" i="88"/>
  <c r="L635" i="88"/>
  <c r="L636" i="88"/>
  <c r="L637" i="88"/>
  <c r="H49" i="70" s="1"/>
  <c r="L638" i="88"/>
  <c r="L639" i="88"/>
  <c r="L640" i="88"/>
  <c r="L641" i="88"/>
  <c r="L642" i="88"/>
  <c r="L643" i="88"/>
  <c r="L644" i="88"/>
  <c r="L645" i="88"/>
  <c r="L646" i="88"/>
  <c r="L647" i="88"/>
  <c r="L648" i="88"/>
  <c r="L649" i="88"/>
  <c r="H47" i="70" s="1"/>
  <c r="L125" i="88"/>
  <c r="L126" i="88"/>
  <c r="L127" i="88"/>
  <c r="L128" i="88"/>
  <c r="L129" i="88"/>
  <c r="L130" i="88"/>
  <c r="L131" i="88"/>
  <c r="L132" i="88"/>
  <c r="L133" i="88"/>
  <c r="L134" i="88"/>
  <c r="L135" i="88"/>
  <c r="L136" i="88"/>
  <c r="L140" i="88"/>
  <c r="L141" i="88"/>
  <c r="L142" i="88"/>
  <c r="L145" i="88"/>
  <c r="L146" i="88"/>
  <c r="L147" i="88"/>
  <c r="L492" i="88"/>
  <c r="L650" i="88"/>
  <c r="L651" i="88"/>
  <c r="L498" i="88"/>
  <c r="L499" i="88"/>
  <c r="L530" i="88"/>
  <c r="L665" i="88"/>
  <c r="L666" i="88"/>
  <c r="L667" i="88"/>
  <c r="L668" i="88"/>
  <c r="L652" i="88"/>
  <c r="L653" i="88"/>
  <c r="L654" i="88"/>
  <c r="L655" i="88"/>
  <c r="L656" i="88"/>
  <c r="L657" i="88"/>
  <c r="L658" i="88"/>
  <c r="L659" i="88"/>
  <c r="L660" i="88"/>
  <c r="L661" i="88"/>
  <c r="L158" i="88"/>
  <c r="L159" i="88"/>
  <c r="L160" i="88"/>
  <c r="L161" i="88"/>
  <c r="L162" i="88"/>
  <c r="L163" i="88"/>
  <c r="L164" i="88"/>
  <c r="L165" i="88"/>
  <c r="L166" i="88"/>
  <c r="L167" i="88"/>
  <c r="L168" i="88"/>
  <c r="L169" i="88"/>
  <c r="L170" i="88"/>
  <c r="L171" i="88"/>
  <c r="L172" i="88"/>
  <c r="L173" i="88"/>
  <c r="L174" i="88"/>
  <c r="L175" i="88"/>
  <c r="L176" i="88"/>
  <c r="L177" i="88"/>
  <c r="L178" i="88"/>
  <c r="L179" i="88"/>
  <c r="L180" i="88"/>
  <c r="L181" i="88"/>
  <c r="L182" i="88"/>
  <c r="L183" i="88"/>
  <c r="L184" i="88"/>
  <c r="L185" i="88"/>
  <c r="L186" i="88"/>
  <c r="L671" i="88"/>
  <c r="L672" i="88"/>
  <c r="L673" i="88"/>
  <c r="L674" i="88"/>
  <c r="L675" i="88"/>
  <c r="L676" i="88"/>
  <c r="L677" i="88"/>
  <c r="L678" i="88"/>
  <c r="L679" i="88"/>
  <c r="L680" i="88"/>
  <c r="H48" i="70" s="1"/>
  <c r="L681" i="88"/>
  <c r="L686" i="88"/>
  <c r="L687" i="88"/>
  <c r="L688" i="88"/>
  <c r="L689" i="88"/>
  <c r="L690" i="88"/>
  <c r="L691" i="88"/>
  <c r="L692" i="88"/>
  <c r="L693" i="88"/>
  <c r="L694" i="88"/>
  <c r="L699" i="88"/>
  <c r="L700" i="88"/>
  <c r="L701" i="88"/>
  <c r="L702" i="88"/>
  <c r="L703" i="88"/>
  <c r="A5" i="88"/>
  <c r="O5" i="88" s="1"/>
  <c r="O6" i="88"/>
  <c r="C14" i="75"/>
  <c r="B75" i="75" s="1"/>
  <c r="B60" i="84"/>
  <c r="F60" i="84" s="1"/>
  <c r="B59" i="84"/>
  <c r="F59" i="84" s="1"/>
  <c r="B58" i="84"/>
  <c r="F58" i="84" s="1"/>
  <c r="B57" i="84"/>
  <c r="F57" i="84" s="1"/>
  <c r="B56" i="84"/>
  <c r="F56" i="84" s="1"/>
  <c r="B55" i="84"/>
  <c r="F55" i="84" s="1"/>
  <c r="B54" i="84"/>
  <c r="F54" i="84" s="1"/>
  <c r="B53" i="84"/>
  <c r="F53" i="84" s="1"/>
  <c r="B52" i="84"/>
  <c r="F52" i="84" s="1"/>
  <c r="B51" i="84"/>
  <c r="F51" i="84" s="1"/>
  <c r="B50" i="84"/>
  <c r="F50" i="84" s="1"/>
  <c r="B49" i="84"/>
  <c r="F49" i="84" s="1"/>
  <c r="B48" i="84"/>
  <c r="F48" i="84" s="1"/>
  <c r="B47" i="84"/>
  <c r="F47" i="84" s="1"/>
  <c r="B46" i="84"/>
  <c r="F46" i="84" s="1"/>
  <c r="B45" i="84"/>
  <c r="F45" i="84" s="1"/>
  <c r="B44" i="84"/>
  <c r="F44" i="84" s="1"/>
  <c r="B43" i="84"/>
  <c r="F43" i="84" s="1"/>
  <c r="B42" i="84"/>
  <c r="F42" i="84" s="1"/>
  <c r="B41" i="84"/>
  <c r="F41" i="84" s="1"/>
  <c r="B40" i="84"/>
  <c r="F40" i="84" s="1"/>
  <c r="B39" i="84"/>
  <c r="F39" i="84" s="1"/>
  <c r="B38" i="84"/>
  <c r="F38" i="84" s="1"/>
  <c r="B37" i="84"/>
  <c r="F37" i="84" s="1"/>
  <c r="B36" i="84"/>
  <c r="F36" i="84" s="1"/>
  <c r="B35" i="84"/>
  <c r="F35" i="84" s="1"/>
  <c r="B34" i="84"/>
  <c r="F34" i="84" s="1"/>
  <c r="B33" i="84"/>
  <c r="F33" i="84" s="1"/>
  <c r="B32" i="84"/>
  <c r="F32" i="84" s="1"/>
  <c r="B31" i="84"/>
  <c r="F31" i="84" s="1"/>
  <c r="B30" i="84"/>
  <c r="F30" i="84" s="1"/>
  <c r="B29" i="84"/>
  <c r="F29" i="84" s="1"/>
  <c r="B28" i="84"/>
  <c r="F28" i="84" s="1"/>
  <c r="B27" i="84"/>
  <c r="F27" i="84" s="1"/>
  <c r="B26" i="84"/>
  <c r="F26" i="84" s="1"/>
  <c r="B25" i="84"/>
  <c r="F25" i="84" s="1"/>
  <c r="B24" i="84"/>
  <c r="F24" i="84" s="1"/>
  <c r="B23" i="84"/>
  <c r="F23" i="84" s="1"/>
  <c r="B22" i="84"/>
  <c r="F22" i="84" s="1"/>
  <c r="B21" i="84"/>
  <c r="F21" i="84" s="1"/>
  <c r="B20" i="84"/>
  <c r="F20" i="84" s="1"/>
  <c r="B19" i="84"/>
  <c r="F19" i="84" s="1"/>
  <c r="B18" i="84"/>
  <c r="F18" i="84" s="1"/>
  <c r="B17" i="84"/>
  <c r="F17" i="84" s="1"/>
  <c r="B16" i="84"/>
  <c r="F16" i="84" s="1"/>
  <c r="B15" i="84"/>
  <c r="F15" i="84" s="1"/>
  <c r="B14" i="84"/>
  <c r="A14" i="84" s="1"/>
  <c r="C60" i="84"/>
  <c r="D60" i="84"/>
  <c r="E60" i="84"/>
  <c r="G60" i="84"/>
  <c r="H60" i="84"/>
  <c r="E59" i="84"/>
  <c r="E58" i="84"/>
  <c r="E57" i="84"/>
  <c r="E56" i="84"/>
  <c r="E55" i="84"/>
  <c r="E54" i="84"/>
  <c r="E53" i="84"/>
  <c r="E52" i="84"/>
  <c r="E51" i="84"/>
  <c r="E50" i="84"/>
  <c r="E49" i="84"/>
  <c r="E48" i="84"/>
  <c r="E47" i="84"/>
  <c r="E46" i="84"/>
  <c r="E45" i="84"/>
  <c r="E44" i="84"/>
  <c r="E43" i="84"/>
  <c r="E42" i="84"/>
  <c r="E41" i="84"/>
  <c r="E40" i="84"/>
  <c r="E39" i="84"/>
  <c r="E38" i="84"/>
  <c r="E37" i="84"/>
  <c r="E36" i="84"/>
  <c r="E35" i="84"/>
  <c r="E34" i="84"/>
  <c r="E33" i="84"/>
  <c r="E32" i="84"/>
  <c r="E31" i="84"/>
  <c r="E30" i="84"/>
  <c r="E29" i="84"/>
  <c r="E28" i="84"/>
  <c r="E27" i="84"/>
  <c r="E26" i="84"/>
  <c r="E25" i="84"/>
  <c r="E24" i="84"/>
  <c r="E23" i="84"/>
  <c r="E22" i="84"/>
  <c r="E21" i="84"/>
  <c r="E20" i="84"/>
  <c r="E19" i="84"/>
  <c r="E18" i="84"/>
  <c r="E17" i="84"/>
  <c r="E16" i="84"/>
  <c r="E15" i="84"/>
  <c r="E14" i="84"/>
  <c r="G14" i="84"/>
  <c r="H14" i="84"/>
  <c r="I13" i="84"/>
  <c r="G15" i="84"/>
  <c r="H15" i="84"/>
  <c r="G16" i="84"/>
  <c r="H16" i="84"/>
  <c r="G17" i="84"/>
  <c r="H17" i="84"/>
  <c r="G18" i="84"/>
  <c r="H18" i="84"/>
  <c r="G19" i="84"/>
  <c r="H19" i="84"/>
  <c r="G20" i="84"/>
  <c r="H20" i="84"/>
  <c r="G21" i="84"/>
  <c r="H21" i="84"/>
  <c r="G22" i="84"/>
  <c r="H22" i="84"/>
  <c r="G23" i="84"/>
  <c r="H23" i="84"/>
  <c r="G24" i="84"/>
  <c r="H24" i="84"/>
  <c r="G25" i="84"/>
  <c r="H25" i="84"/>
  <c r="G26" i="84"/>
  <c r="H26" i="84"/>
  <c r="G27" i="84"/>
  <c r="H27" i="84"/>
  <c r="G28" i="84"/>
  <c r="H28" i="84"/>
  <c r="G29" i="84"/>
  <c r="H29" i="84"/>
  <c r="G30" i="84"/>
  <c r="H30" i="84"/>
  <c r="G31" i="84"/>
  <c r="H31" i="84"/>
  <c r="G32" i="84"/>
  <c r="H32" i="84"/>
  <c r="G33" i="84"/>
  <c r="H33" i="84"/>
  <c r="G34" i="84"/>
  <c r="H34" i="84"/>
  <c r="G35" i="84"/>
  <c r="H35" i="84"/>
  <c r="G36" i="84"/>
  <c r="H36" i="84"/>
  <c r="G37" i="84"/>
  <c r="H37" i="84"/>
  <c r="G38" i="84"/>
  <c r="H38" i="84"/>
  <c r="G39" i="84"/>
  <c r="H39" i="84"/>
  <c r="G40" i="84"/>
  <c r="H40" i="84"/>
  <c r="G41" i="84"/>
  <c r="H41" i="84"/>
  <c r="G42" i="84"/>
  <c r="H42" i="84"/>
  <c r="G43" i="84"/>
  <c r="H43" i="84"/>
  <c r="G44" i="84"/>
  <c r="H44" i="84"/>
  <c r="G45" i="84"/>
  <c r="H45" i="84"/>
  <c r="G46" i="84"/>
  <c r="H46" i="84"/>
  <c r="G47" i="84"/>
  <c r="H47" i="84"/>
  <c r="G48" i="84"/>
  <c r="H48" i="84"/>
  <c r="G49" i="84"/>
  <c r="H49" i="84"/>
  <c r="G50" i="84"/>
  <c r="H50" i="84"/>
  <c r="G51" i="84"/>
  <c r="H51" i="84"/>
  <c r="G52" i="84"/>
  <c r="H52" i="84"/>
  <c r="G53" i="84"/>
  <c r="H53" i="84"/>
  <c r="G54" i="84"/>
  <c r="H54" i="84"/>
  <c r="G55" i="84"/>
  <c r="H55" i="84"/>
  <c r="G56" i="84"/>
  <c r="H56" i="84"/>
  <c r="G57" i="84"/>
  <c r="H57" i="84"/>
  <c r="G58" i="84"/>
  <c r="H58" i="84"/>
  <c r="G59" i="84"/>
  <c r="H59" i="84"/>
  <c r="B61" i="84"/>
  <c r="F61" i="84" s="1"/>
  <c r="C61" i="84"/>
  <c r="D61" i="84"/>
  <c r="E61" i="84"/>
  <c r="G61" i="84"/>
  <c r="H61" i="84"/>
  <c r="B62" i="84"/>
  <c r="F62" i="84" s="1"/>
  <c r="C62" i="84"/>
  <c r="D62" i="84"/>
  <c r="E62" i="84"/>
  <c r="G62" i="84"/>
  <c r="H62" i="84"/>
  <c r="B63" i="84"/>
  <c r="F63" i="84" s="1"/>
  <c r="C63" i="84"/>
  <c r="D63" i="84"/>
  <c r="E63" i="84"/>
  <c r="G63" i="84"/>
  <c r="H63" i="84"/>
  <c r="B64" i="84"/>
  <c r="F64" i="84" s="1"/>
  <c r="C64" i="84"/>
  <c r="D64" i="84"/>
  <c r="E64" i="84"/>
  <c r="G64" i="84"/>
  <c r="H64" i="84"/>
  <c r="B65" i="84"/>
  <c r="F65" i="84" s="1"/>
  <c r="C65" i="84"/>
  <c r="D65" i="84"/>
  <c r="E65" i="84"/>
  <c r="G65" i="84"/>
  <c r="H65" i="84"/>
  <c r="B66" i="84"/>
  <c r="C66" i="84"/>
  <c r="D66" i="84"/>
  <c r="E66" i="84"/>
  <c r="G66" i="84"/>
  <c r="H66" i="84"/>
  <c r="B67" i="84"/>
  <c r="C67" i="84"/>
  <c r="D67" i="84"/>
  <c r="E67" i="84"/>
  <c r="G67" i="84"/>
  <c r="H67" i="84"/>
  <c r="B68" i="84"/>
  <c r="C68" i="84"/>
  <c r="D68" i="84"/>
  <c r="E68" i="84"/>
  <c r="G68" i="84"/>
  <c r="H68" i="84"/>
  <c r="B69" i="84"/>
  <c r="C69" i="84"/>
  <c r="D69" i="84"/>
  <c r="E69" i="84"/>
  <c r="G69" i="84"/>
  <c r="H69" i="84"/>
  <c r="B70" i="84"/>
  <c r="C70" i="84"/>
  <c r="D70" i="84"/>
  <c r="E70" i="84"/>
  <c r="G70" i="84"/>
  <c r="H70" i="84"/>
  <c r="B71" i="84"/>
  <c r="C71" i="84"/>
  <c r="D71" i="84"/>
  <c r="E71" i="84"/>
  <c r="G71" i="84"/>
  <c r="H71" i="84"/>
  <c r="B72" i="84"/>
  <c r="C72" i="84"/>
  <c r="D72" i="84"/>
  <c r="E72" i="84"/>
  <c r="G72" i="84"/>
  <c r="H72" i="84"/>
  <c r="B73" i="84"/>
  <c r="C73" i="84"/>
  <c r="D73" i="84"/>
  <c r="E73" i="84"/>
  <c r="G73" i="84"/>
  <c r="H73" i="84"/>
  <c r="B74" i="84"/>
  <c r="C74" i="84"/>
  <c r="D74" i="84"/>
  <c r="E74" i="84"/>
  <c r="G74" i="84"/>
  <c r="H74" i="84"/>
  <c r="B75" i="84"/>
  <c r="C75" i="84"/>
  <c r="D75" i="84"/>
  <c r="E75" i="84"/>
  <c r="G75" i="84"/>
  <c r="H75" i="84"/>
  <c r="B76" i="84"/>
  <c r="C76" i="84"/>
  <c r="D76" i="84"/>
  <c r="E76" i="84"/>
  <c r="G76" i="84"/>
  <c r="H76" i="84"/>
  <c r="B77" i="84"/>
  <c r="C77" i="84"/>
  <c r="D77" i="84"/>
  <c r="E77" i="84"/>
  <c r="G77" i="84"/>
  <c r="H77" i="84"/>
  <c r="B78" i="84"/>
  <c r="C78" i="84"/>
  <c r="D78" i="84"/>
  <c r="E78" i="84"/>
  <c r="G78" i="84"/>
  <c r="H78" i="84"/>
  <c r="B79" i="84"/>
  <c r="C79" i="84"/>
  <c r="D79" i="84"/>
  <c r="E79" i="84"/>
  <c r="G79" i="84"/>
  <c r="H79" i="84"/>
  <c r="B80" i="84"/>
  <c r="C80" i="84"/>
  <c r="D80" i="84"/>
  <c r="E80" i="84"/>
  <c r="G80" i="84"/>
  <c r="H80" i="84"/>
  <c r="B81" i="84"/>
  <c r="C81" i="84"/>
  <c r="D81" i="84"/>
  <c r="E81" i="84"/>
  <c r="G81" i="84"/>
  <c r="H81" i="84"/>
  <c r="B82" i="84"/>
  <c r="C82" i="84"/>
  <c r="D82" i="84"/>
  <c r="E82" i="84"/>
  <c r="G82" i="84"/>
  <c r="H82" i="84"/>
  <c r="B83" i="84"/>
  <c r="C83" i="84"/>
  <c r="D83" i="84"/>
  <c r="E83" i="84"/>
  <c r="G83" i="84"/>
  <c r="H83" i="84"/>
  <c r="B84" i="84"/>
  <c r="C84" i="84"/>
  <c r="D84" i="84"/>
  <c r="E84" i="84"/>
  <c r="G84" i="84"/>
  <c r="H84" i="84"/>
  <c r="B85" i="84"/>
  <c r="A85" i="84" s="1"/>
  <c r="C85" i="84"/>
  <c r="D85" i="84"/>
  <c r="E85" i="84"/>
  <c r="I85" i="84" s="1"/>
  <c r="G85" i="84"/>
  <c r="H85" i="84"/>
  <c r="B86" i="84"/>
  <c r="A86" i="84" s="1"/>
  <c r="C86" i="84"/>
  <c r="D86" i="84"/>
  <c r="E86" i="84"/>
  <c r="I86" i="84" s="1"/>
  <c r="G86" i="84"/>
  <c r="H86" i="84"/>
  <c r="B87" i="84"/>
  <c r="A87" i="84" s="1"/>
  <c r="C87" i="84"/>
  <c r="D87" i="84"/>
  <c r="E87" i="84"/>
  <c r="I87" i="84" s="1"/>
  <c r="G87" i="84"/>
  <c r="H87" i="84"/>
  <c r="B88" i="84"/>
  <c r="A88" i="84" s="1"/>
  <c r="C88" i="84"/>
  <c r="D88" i="84"/>
  <c r="E88" i="84"/>
  <c r="I88" i="84" s="1"/>
  <c r="G88" i="84"/>
  <c r="H88" i="84"/>
  <c r="B89" i="84"/>
  <c r="A89" i="84" s="1"/>
  <c r="C89" i="84"/>
  <c r="D89" i="84"/>
  <c r="E89" i="84"/>
  <c r="I89" i="84" s="1"/>
  <c r="G89" i="84"/>
  <c r="H89" i="84"/>
  <c r="B90" i="84"/>
  <c r="A90" i="84" s="1"/>
  <c r="C90" i="84"/>
  <c r="D90" i="84"/>
  <c r="E90" i="84"/>
  <c r="I90" i="84" s="1"/>
  <c r="G90" i="84"/>
  <c r="H90" i="84"/>
  <c r="B91" i="84"/>
  <c r="A91" i="84" s="1"/>
  <c r="C91" i="84"/>
  <c r="D91" i="84"/>
  <c r="E91" i="84"/>
  <c r="I91" i="84" s="1"/>
  <c r="G91" i="84"/>
  <c r="H91" i="84"/>
  <c r="B92" i="84"/>
  <c r="A92" i="84" s="1"/>
  <c r="C92" i="84"/>
  <c r="D92" i="84"/>
  <c r="E92" i="84"/>
  <c r="I92" i="84" s="1"/>
  <c r="G92" i="84"/>
  <c r="H92" i="84"/>
  <c r="B93" i="84"/>
  <c r="A93" i="84" s="1"/>
  <c r="C93" i="84"/>
  <c r="D93" i="84"/>
  <c r="E93" i="84"/>
  <c r="I93" i="84" s="1"/>
  <c r="G93" i="84"/>
  <c r="H93" i="84"/>
  <c r="B94" i="84"/>
  <c r="A94" i="84" s="1"/>
  <c r="C94" i="84"/>
  <c r="D94" i="84"/>
  <c r="E94" i="84"/>
  <c r="I94" i="84" s="1"/>
  <c r="G94" i="84"/>
  <c r="H94" i="84"/>
  <c r="B95" i="84"/>
  <c r="A95" i="84" s="1"/>
  <c r="C95" i="84"/>
  <c r="D95" i="84"/>
  <c r="E95" i="84"/>
  <c r="I95" i="84" s="1"/>
  <c r="G95" i="84"/>
  <c r="H95" i="84"/>
  <c r="B96" i="84"/>
  <c r="A96" i="84" s="1"/>
  <c r="C96" i="84"/>
  <c r="D96" i="84"/>
  <c r="E96" i="84"/>
  <c r="I96" i="84" s="1"/>
  <c r="G96" i="84"/>
  <c r="H96" i="84"/>
  <c r="B97" i="84"/>
  <c r="A97" i="84" s="1"/>
  <c r="C97" i="84"/>
  <c r="D97" i="84"/>
  <c r="E97" i="84"/>
  <c r="I97" i="84" s="1"/>
  <c r="G97" i="84"/>
  <c r="H97" i="84"/>
  <c r="B98" i="84"/>
  <c r="A98" i="84" s="1"/>
  <c r="C98" i="84"/>
  <c r="D98" i="84"/>
  <c r="E98" i="84"/>
  <c r="I98" i="84" s="1"/>
  <c r="G98" i="84"/>
  <c r="H98" i="84"/>
  <c r="B99" i="84"/>
  <c r="A99" i="84" s="1"/>
  <c r="C99" i="84"/>
  <c r="D99" i="84"/>
  <c r="E99" i="84"/>
  <c r="I99" i="84" s="1"/>
  <c r="G99" i="84"/>
  <c r="H99" i="84"/>
  <c r="B100" i="84"/>
  <c r="A100" i="84" s="1"/>
  <c r="C100" i="84"/>
  <c r="D100" i="84"/>
  <c r="E100" i="84"/>
  <c r="I100" i="84" s="1"/>
  <c r="G100" i="84"/>
  <c r="H100" i="84"/>
  <c r="B101" i="84"/>
  <c r="A101" i="84" s="1"/>
  <c r="C101" i="84"/>
  <c r="D101" i="84"/>
  <c r="E101" i="84"/>
  <c r="I101" i="84" s="1"/>
  <c r="G101" i="84"/>
  <c r="H101" i="84"/>
  <c r="B102" i="84"/>
  <c r="A102" i="84" s="1"/>
  <c r="C102" i="84"/>
  <c r="D102" i="84"/>
  <c r="E102" i="84"/>
  <c r="I102" i="84" s="1"/>
  <c r="G102" i="84"/>
  <c r="H102" i="84"/>
  <c r="B103" i="84"/>
  <c r="A103" i="84" s="1"/>
  <c r="C103" i="84"/>
  <c r="D103" i="84"/>
  <c r="E103" i="84"/>
  <c r="I103" i="84" s="1"/>
  <c r="G103" i="84"/>
  <c r="H103" i="84"/>
  <c r="B104" i="84"/>
  <c r="A104" i="84" s="1"/>
  <c r="C104" i="84"/>
  <c r="D104" i="84"/>
  <c r="E104" i="84"/>
  <c r="I104" i="84" s="1"/>
  <c r="G104" i="84"/>
  <c r="H104" i="84"/>
  <c r="B105" i="84"/>
  <c r="A105" i="84" s="1"/>
  <c r="C105" i="84"/>
  <c r="D105" i="84"/>
  <c r="E105" i="84"/>
  <c r="I105" i="84" s="1"/>
  <c r="G105" i="84"/>
  <c r="H105" i="84"/>
  <c r="B106" i="84"/>
  <c r="A106" i="84" s="1"/>
  <c r="C106" i="84"/>
  <c r="D106" i="84"/>
  <c r="E106" i="84"/>
  <c r="I106" i="84" s="1"/>
  <c r="G106" i="84"/>
  <c r="H106" i="84"/>
  <c r="B107" i="84"/>
  <c r="A107" i="84" s="1"/>
  <c r="C107" i="84"/>
  <c r="D107" i="84"/>
  <c r="E107" i="84"/>
  <c r="I107" i="84" s="1"/>
  <c r="G107" i="84"/>
  <c r="H107" i="84"/>
  <c r="B108" i="84"/>
  <c r="A108" i="84" s="1"/>
  <c r="C108" i="84"/>
  <c r="D108" i="84"/>
  <c r="E108" i="84"/>
  <c r="I108" i="84" s="1"/>
  <c r="G108" i="84"/>
  <c r="H108" i="84"/>
  <c r="B109" i="84"/>
  <c r="A109" i="84" s="1"/>
  <c r="C109" i="84"/>
  <c r="D109" i="84"/>
  <c r="E109" i="84"/>
  <c r="I109" i="84" s="1"/>
  <c r="G109" i="84"/>
  <c r="H109" i="84"/>
  <c r="B110" i="84"/>
  <c r="A110" i="84" s="1"/>
  <c r="C110" i="84"/>
  <c r="D110" i="84"/>
  <c r="E110" i="84"/>
  <c r="I110" i="84" s="1"/>
  <c r="G110" i="84"/>
  <c r="H110" i="84"/>
  <c r="B111" i="84"/>
  <c r="A111" i="84" s="1"/>
  <c r="C111" i="84"/>
  <c r="D111" i="84"/>
  <c r="E111" i="84"/>
  <c r="I111" i="84" s="1"/>
  <c r="G111" i="84"/>
  <c r="H111" i="84"/>
  <c r="B112" i="84"/>
  <c r="A112" i="84" s="1"/>
  <c r="C112" i="84"/>
  <c r="D112" i="84"/>
  <c r="E112" i="84"/>
  <c r="I112" i="84" s="1"/>
  <c r="G112" i="84"/>
  <c r="H112" i="84"/>
  <c r="B113" i="84"/>
  <c r="A113" i="84" s="1"/>
  <c r="C113" i="84"/>
  <c r="D113" i="84"/>
  <c r="E113" i="84"/>
  <c r="I113" i="84" s="1"/>
  <c r="G113" i="84"/>
  <c r="H113" i="84"/>
  <c r="B114" i="84"/>
  <c r="A114" i="84" s="1"/>
  <c r="C114" i="84"/>
  <c r="D114" i="84"/>
  <c r="E114" i="84"/>
  <c r="I114" i="84" s="1"/>
  <c r="G114" i="84"/>
  <c r="H114" i="84"/>
  <c r="B115" i="84"/>
  <c r="A115" i="84" s="1"/>
  <c r="C115" i="84"/>
  <c r="D115" i="84"/>
  <c r="E115" i="84"/>
  <c r="I115" i="84" s="1"/>
  <c r="G115" i="84"/>
  <c r="H115" i="84"/>
  <c r="B116" i="84"/>
  <c r="A116" i="84" s="1"/>
  <c r="C116" i="84"/>
  <c r="D116" i="84"/>
  <c r="E116" i="84"/>
  <c r="I116" i="84" s="1"/>
  <c r="G116" i="84"/>
  <c r="H116" i="84"/>
  <c r="B117" i="84"/>
  <c r="A117" i="84" s="1"/>
  <c r="C117" i="84"/>
  <c r="D117" i="84"/>
  <c r="E117" i="84"/>
  <c r="I117" i="84" s="1"/>
  <c r="G117" i="84"/>
  <c r="H117" i="84"/>
  <c r="B118" i="84"/>
  <c r="A118" i="84" s="1"/>
  <c r="C118" i="84"/>
  <c r="D118" i="84"/>
  <c r="E118" i="84"/>
  <c r="I118" i="84" s="1"/>
  <c r="G118" i="84"/>
  <c r="H118" i="84"/>
  <c r="B119" i="84"/>
  <c r="A119" i="84" s="1"/>
  <c r="C119" i="84"/>
  <c r="D119" i="84"/>
  <c r="E119" i="84"/>
  <c r="I119" i="84" s="1"/>
  <c r="G119" i="84"/>
  <c r="H119" i="84"/>
  <c r="B120" i="84"/>
  <c r="A120" i="84" s="1"/>
  <c r="C120" i="84"/>
  <c r="D120" i="84"/>
  <c r="E120" i="84"/>
  <c r="I120" i="84" s="1"/>
  <c r="G120" i="84"/>
  <c r="H120" i="84"/>
  <c r="B121" i="84"/>
  <c r="A121" i="84" s="1"/>
  <c r="C121" i="84"/>
  <c r="D121" i="84"/>
  <c r="E121" i="84"/>
  <c r="I121" i="84" s="1"/>
  <c r="G121" i="84"/>
  <c r="H121" i="84"/>
  <c r="B122" i="84"/>
  <c r="A122" i="84" s="1"/>
  <c r="C122" i="84"/>
  <c r="D122" i="84"/>
  <c r="E122" i="84"/>
  <c r="I122" i="84" s="1"/>
  <c r="G122" i="84"/>
  <c r="H122" i="84"/>
  <c r="B123" i="84"/>
  <c r="A123" i="84" s="1"/>
  <c r="C123" i="84"/>
  <c r="D123" i="84"/>
  <c r="E123" i="84"/>
  <c r="I123" i="84" s="1"/>
  <c r="G123" i="84"/>
  <c r="H123" i="84"/>
  <c r="C24" i="84"/>
  <c r="D24" i="84"/>
  <c r="C25" i="84"/>
  <c r="D25" i="84"/>
  <c r="C26" i="84"/>
  <c r="D26" i="84"/>
  <c r="C27" i="84"/>
  <c r="D27" i="84"/>
  <c r="C28" i="84"/>
  <c r="D28" i="84"/>
  <c r="C29" i="84"/>
  <c r="D29" i="84"/>
  <c r="C30" i="84"/>
  <c r="D30" i="84"/>
  <c r="C31" i="84"/>
  <c r="D31" i="84"/>
  <c r="C32" i="84"/>
  <c r="D32" i="84"/>
  <c r="C33" i="84"/>
  <c r="D33" i="84"/>
  <c r="C34" i="84"/>
  <c r="D34" i="84"/>
  <c r="C35" i="84"/>
  <c r="D35" i="84"/>
  <c r="C36" i="84"/>
  <c r="D36" i="84"/>
  <c r="C37" i="84"/>
  <c r="D37" i="84"/>
  <c r="C38" i="84"/>
  <c r="D38" i="84"/>
  <c r="C39" i="84"/>
  <c r="D39" i="84"/>
  <c r="C40" i="84"/>
  <c r="D40" i="84"/>
  <c r="C41" i="84"/>
  <c r="D41" i="84"/>
  <c r="C42" i="84"/>
  <c r="D42" i="84"/>
  <c r="C43" i="84"/>
  <c r="D43" i="84"/>
  <c r="C44" i="84"/>
  <c r="D44" i="84"/>
  <c r="C45" i="84"/>
  <c r="D45" i="84"/>
  <c r="C46" i="84"/>
  <c r="D46" i="84"/>
  <c r="C47" i="84"/>
  <c r="D47" i="84"/>
  <c r="C48" i="84"/>
  <c r="D48" i="84"/>
  <c r="C49" i="84"/>
  <c r="D49" i="84"/>
  <c r="C50" i="84"/>
  <c r="D50" i="84"/>
  <c r="C51" i="84"/>
  <c r="D51" i="84"/>
  <c r="C52" i="84"/>
  <c r="D52" i="84"/>
  <c r="C53" i="84"/>
  <c r="D53" i="84"/>
  <c r="C54" i="84"/>
  <c r="D54" i="84"/>
  <c r="C55" i="84"/>
  <c r="D55" i="84"/>
  <c r="C56" i="84"/>
  <c r="D56" i="84"/>
  <c r="C57" i="84"/>
  <c r="D57" i="84"/>
  <c r="C58" i="84"/>
  <c r="D58" i="84"/>
  <c r="C59" i="84"/>
  <c r="D59" i="84"/>
  <c r="I7" i="75"/>
  <c r="K109" i="88"/>
  <c r="L109" i="88" s="1"/>
  <c r="H15" i="70"/>
  <c r="H19" i="70"/>
  <c r="H22" i="70"/>
  <c r="H25" i="70"/>
  <c r="I12" i="70"/>
  <c r="I13" i="70"/>
  <c r="I14" i="70"/>
  <c r="I15" i="70"/>
  <c r="I16" i="70"/>
  <c r="I17" i="70"/>
  <c r="I18" i="70"/>
  <c r="I19" i="70"/>
  <c r="I20" i="70"/>
  <c r="I21" i="70"/>
  <c r="I22" i="70"/>
  <c r="I23" i="70"/>
  <c r="I24" i="70"/>
  <c r="I25" i="70"/>
  <c r="J13" i="70"/>
  <c r="J15" i="70"/>
  <c r="J17" i="70"/>
  <c r="J19" i="70"/>
  <c r="J21" i="70"/>
  <c r="J23" i="70"/>
  <c r="J25" i="70"/>
  <c r="G13" i="70"/>
  <c r="G14" i="70"/>
  <c r="G15" i="70"/>
  <c r="G16" i="70"/>
  <c r="G17" i="70"/>
  <c r="G18" i="70"/>
  <c r="G19" i="70"/>
  <c r="G20" i="70"/>
  <c r="G21" i="70"/>
  <c r="G22" i="70"/>
  <c r="G23" i="70"/>
  <c r="G24" i="70"/>
  <c r="G25" i="70"/>
  <c r="B12" i="70"/>
  <c r="G62" i="70"/>
  <c r="I62" i="70"/>
  <c r="G63" i="70"/>
  <c r="I63" i="70"/>
  <c r="J63" i="70"/>
  <c r="I64" i="70"/>
  <c r="B60" i="70"/>
  <c r="D14" i="75"/>
  <c r="A14" i="75" s="1"/>
  <c r="K13" i="75"/>
  <c r="G14" i="75"/>
  <c r="I14" i="75"/>
  <c r="L13" i="75"/>
  <c r="F14" i="75"/>
  <c r="F91" i="70"/>
  <c r="F71" i="70"/>
  <c r="F59" i="70"/>
  <c r="G59" i="70" s="1"/>
  <c r="C8" i="84"/>
  <c r="C15" i="84"/>
  <c r="D15" i="84"/>
  <c r="C16" i="84"/>
  <c r="D16" i="84"/>
  <c r="C17" i="84"/>
  <c r="D17" i="84"/>
  <c r="C18" i="84"/>
  <c r="D18" i="84"/>
  <c r="C19" i="84"/>
  <c r="D19" i="84"/>
  <c r="C20" i="84"/>
  <c r="D20" i="84"/>
  <c r="C21" i="84"/>
  <c r="D21" i="84"/>
  <c r="C22" i="84"/>
  <c r="D22" i="84"/>
  <c r="C23" i="84"/>
  <c r="D23" i="84"/>
  <c r="D14" i="84"/>
  <c r="C14" i="84"/>
  <c r="G61" i="70"/>
  <c r="H61" i="70"/>
  <c r="I61" i="70"/>
  <c r="J61" i="70"/>
  <c r="G65" i="70"/>
  <c r="H65" i="70"/>
  <c r="I65" i="70"/>
  <c r="J65" i="70"/>
  <c r="G66" i="70"/>
  <c r="I66" i="70"/>
  <c r="J66" i="70"/>
  <c r="G67" i="70"/>
  <c r="H67" i="70"/>
  <c r="I67" i="70"/>
  <c r="J67" i="70"/>
  <c r="I60" i="70"/>
  <c r="G60" i="70"/>
  <c r="B14" i="75"/>
  <c r="B69" i="70"/>
  <c r="B72" i="70"/>
  <c r="A72" i="70" s="1"/>
  <c r="A90" i="70"/>
  <c r="A69" i="70"/>
  <c r="A70" i="70"/>
  <c r="A57" i="70"/>
  <c r="A58" i="70"/>
  <c r="G2" i="87"/>
  <c r="F14" i="87"/>
  <c r="H29" i="87"/>
  <c r="C7" i="87"/>
  <c r="D5" i="87"/>
  <c r="E14" i="75"/>
  <c r="A26" i="87"/>
  <c r="A124" i="84"/>
  <c r="G91" i="70"/>
  <c r="G71" i="70"/>
  <c r="A61" i="89" l="1"/>
  <c r="H61" i="89"/>
  <c r="D62" i="89"/>
  <c r="A63" i="89"/>
  <c r="D64" i="89"/>
  <c r="H65" i="89"/>
  <c r="G62" i="89"/>
  <c r="G64" i="89"/>
  <c r="B61" i="89"/>
  <c r="I61" i="89"/>
  <c r="B63" i="89"/>
  <c r="B65" i="89"/>
  <c r="D61" i="89"/>
  <c r="A62" i="89"/>
  <c r="H62" i="89"/>
  <c r="D63" i="89"/>
  <c r="A64" i="89"/>
  <c r="H64" i="89"/>
  <c r="D65" i="89"/>
  <c r="G61" i="89"/>
  <c r="B62" i="89"/>
  <c r="I62" i="89"/>
  <c r="G63" i="89"/>
  <c r="B64" i="89"/>
  <c r="I64" i="89"/>
  <c r="G65" i="89"/>
  <c r="H63" i="89"/>
  <c r="A65" i="89"/>
  <c r="I63" i="89"/>
  <c r="I65" i="89"/>
  <c r="A10" i="87"/>
  <c r="B449" i="88"/>
  <c r="B427" i="88"/>
  <c r="B424" i="88"/>
  <c r="B422" i="88"/>
  <c r="B439" i="88"/>
  <c r="B448" i="88"/>
  <c r="B452" i="88"/>
  <c r="B431" i="88"/>
  <c r="B444" i="88"/>
  <c r="B443" i="88"/>
  <c r="B433" i="88"/>
  <c r="B435" i="88"/>
  <c r="B441" i="88"/>
  <c r="B450" i="88"/>
  <c r="B434" i="88"/>
  <c r="B436" i="88"/>
  <c r="B438" i="88"/>
  <c r="B440" i="88"/>
  <c r="B442" i="88"/>
  <c r="B445" i="88"/>
  <c r="B447" i="88"/>
  <c r="B451" i="88"/>
  <c r="B453" i="88"/>
  <c r="B432" i="88"/>
  <c r="B430" i="88"/>
  <c r="B429" i="88"/>
  <c r="B428" i="88"/>
  <c r="B426" i="88"/>
  <c r="B425" i="88"/>
  <c r="B423" i="88"/>
  <c r="B437" i="88"/>
  <c r="B446" i="88"/>
  <c r="B7" i="88"/>
  <c r="B11" i="88"/>
  <c r="B15" i="88"/>
  <c r="B19" i="88"/>
  <c r="B23" i="88"/>
  <c r="B27" i="88"/>
  <c r="B31" i="88"/>
  <c r="B35" i="88"/>
  <c r="B39" i="88"/>
  <c r="B43" i="88"/>
  <c r="B47" i="88"/>
  <c r="B51" i="88"/>
  <c r="B55" i="88"/>
  <c r="B59" i="88"/>
  <c r="B63" i="88"/>
  <c r="B67" i="88"/>
  <c r="B71" i="88"/>
  <c r="B75" i="88"/>
  <c r="B79" i="88"/>
  <c r="B83" i="88"/>
  <c r="B87" i="88"/>
  <c r="B91" i="88"/>
  <c r="B95" i="88"/>
  <c r="B99" i="88"/>
  <c r="B103" i="88"/>
  <c r="B107" i="88"/>
  <c r="B111" i="88"/>
  <c r="B115" i="88"/>
  <c r="B119" i="88"/>
  <c r="B123" i="88"/>
  <c r="B127" i="88"/>
  <c r="B131" i="88"/>
  <c r="B135" i="88"/>
  <c r="B139" i="88"/>
  <c r="B143" i="88"/>
  <c r="B147" i="88"/>
  <c r="B151" i="88"/>
  <c r="B155" i="88"/>
  <c r="B159" i="88"/>
  <c r="B163" i="88"/>
  <c r="B167" i="88"/>
  <c r="B171" i="88"/>
  <c r="B175" i="88"/>
  <c r="B179" i="88"/>
  <c r="B183" i="88"/>
  <c r="B187" i="88"/>
  <c r="B191" i="88"/>
  <c r="B195" i="88"/>
  <c r="B199" i="88"/>
  <c r="B203" i="88"/>
  <c r="B207" i="88"/>
  <c r="B211" i="88"/>
  <c r="B215" i="88"/>
  <c r="B219" i="88"/>
  <c r="B223" i="88"/>
  <c r="B227" i="88"/>
  <c r="B231" i="88"/>
  <c r="B235" i="88"/>
  <c r="B239" i="88"/>
  <c r="B243" i="88"/>
  <c r="B247" i="88"/>
  <c r="B251" i="88"/>
  <c r="B255" i="88"/>
  <c r="B259" i="88"/>
  <c r="B263" i="88"/>
  <c r="B267" i="88"/>
  <c r="B271" i="88"/>
  <c r="B275" i="88"/>
  <c r="B279" i="88"/>
  <c r="B283" i="88"/>
  <c r="B287" i="88"/>
  <c r="B291" i="88"/>
  <c r="B295" i="88"/>
  <c r="B312" i="88"/>
  <c r="B301" i="88"/>
  <c r="B305" i="88"/>
  <c r="B309" i="88"/>
  <c r="B315" i="88"/>
  <c r="B8" i="88"/>
  <c r="B12" i="88"/>
  <c r="B16" i="88"/>
  <c r="B20" i="88"/>
  <c r="B24" i="88"/>
  <c r="B28" i="88"/>
  <c r="B32" i="88"/>
  <c r="B36" i="88"/>
  <c r="B40" i="88"/>
  <c r="B44" i="88"/>
  <c r="B48" i="88"/>
  <c r="B52" i="88"/>
  <c r="B56" i="88"/>
  <c r="B60" i="88"/>
  <c r="B64" i="88"/>
  <c r="B68" i="88"/>
  <c r="B72" i="88"/>
  <c r="B76" i="88"/>
  <c r="B80" i="88"/>
  <c r="B84" i="88"/>
  <c r="B88" i="88"/>
  <c r="B92" i="88"/>
  <c r="B96" i="88"/>
  <c r="B100" i="88"/>
  <c r="B104" i="88"/>
  <c r="B108" i="88"/>
  <c r="B112" i="88"/>
  <c r="B116" i="88"/>
  <c r="B120" i="88"/>
  <c r="B124" i="88"/>
  <c r="B128" i="88"/>
  <c r="B132" i="88"/>
  <c r="B136" i="88"/>
  <c r="B140" i="88"/>
  <c r="B144" i="88"/>
  <c r="B148" i="88"/>
  <c r="B152" i="88"/>
  <c r="B156" i="88"/>
  <c r="B160" i="88"/>
  <c r="B164" i="88"/>
  <c r="B168" i="88"/>
  <c r="B172" i="88"/>
  <c r="B176" i="88"/>
  <c r="B180" i="88"/>
  <c r="B184" i="88"/>
  <c r="B188" i="88"/>
  <c r="B192" i="88"/>
  <c r="B196" i="88"/>
  <c r="B200" i="88"/>
  <c r="B204" i="88"/>
  <c r="B208" i="88"/>
  <c r="B212" i="88"/>
  <c r="B216" i="88"/>
  <c r="B220" i="88"/>
  <c r="B224" i="88"/>
  <c r="B228" i="88"/>
  <c r="B232" i="88"/>
  <c r="B236" i="88"/>
  <c r="B240" i="88"/>
  <c r="B244" i="88"/>
  <c r="B248" i="88"/>
  <c r="B252" i="88"/>
  <c r="B256" i="88"/>
  <c r="B260" i="88"/>
  <c r="B264" i="88"/>
  <c r="B268" i="88"/>
  <c r="B272" i="88"/>
  <c r="B276" i="88"/>
  <c r="B280" i="88"/>
  <c r="B284" i="88"/>
  <c r="B288" i="88"/>
  <c r="B292" i="88"/>
  <c r="B296" i="88"/>
  <c r="B313" i="88"/>
  <c r="B302" i="88"/>
  <c r="B9" i="88"/>
  <c r="B13" i="88"/>
  <c r="B17" i="88"/>
  <c r="B21" i="88"/>
  <c r="B25" i="88"/>
  <c r="B29" i="88"/>
  <c r="B33" i="88"/>
  <c r="B37" i="88"/>
  <c r="B41" i="88"/>
  <c r="B45" i="88"/>
  <c r="B49" i="88"/>
  <c r="B53" i="88"/>
  <c r="B57" i="88"/>
  <c r="B61" i="88"/>
  <c r="B65" i="88"/>
  <c r="B69" i="88"/>
  <c r="B73" i="88"/>
  <c r="B77" i="88"/>
  <c r="B81" i="88"/>
  <c r="B85" i="88"/>
  <c r="B89" i="88"/>
  <c r="B93" i="88"/>
  <c r="B97" i="88"/>
  <c r="B101" i="88"/>
  <c r="B105" i="88"/>
  <c r="B109" i="88"/>
  <c r="B113" i="88"/>
  <c r="B117" i="88"/>
  <c r="B121" i="88"/>
  <c r="B125" i="88"/>
  <c r="B129" i="88"/>
  <c r="B133" i="88"/>
  <c r="B137" i="88"/>
  <c r="B141" i="88"/>
  <c r="B145" i="88"/>
  <c r="B149" i="88"/>
  <c r="B153" i="88"/>
  <c r="B157" i="88"/>
  <c r="B161" i="88"/>
  <c r="B165" i="88"/>
  <c r="B169" i="88"/>
  <c r="B173" i="88"/>
  <c r="B177" i="88"/>
  <c r="B181" i="88"/>
  <c r="B185" i="88"/>
  <c r="B189" i="88"/>
  <c r="B193" i="88"/>
  <c r="B197" i="88"/>
  <c r="B201" i="88"/>
  <c r="B205" i="88"/>
  <c r="B209" i="88"/>
  <c r="B213" i="88"/>
  <c r="B217" i="88"/>
  <c r="B221" i="88"/>
  <c r="B225" i="88"/>
  <c r="B229" i="88"/>
  <c r="B233" i="88"/>
  <c r="B237" i="88"/>
  <c r="B241" i="88"/>
  <c r="B245" i="88"/>
  <c r="B249" i="88"/>
  <c r="B253" i="88"/>
  <c r="B257" i="88"/>
  <c r="B261" i="88"/>
  <c r="B265" i="88"/>
  <c r="B269" i="88"/>
  <c r="B273" i="88"/>
  <c r="B277" i="88"/>
  <c r="B281" i="88"/>
  <c r="B285" i="88"/>
  <c r="B289" i="88"/>
  <c r="B293" i="88"/>
  <c r="B297" i="88"/>
  <c r="B299" i="88"/>
  <c r="B303" i="88"/>
  <c r="B10" i="88"/>
  <c r="B14" i="88"/>
  <c r="B18" i="88"/>
  <c r="B22" i="88"/>
  <c r="B26" i="88"/>
  <c r="B30" i="88"/>
  <c r="B34" i="88"/>
  <c r="B38" i="88"/>
  <c r="B42" i="88"/>
  <c r="B46" i="88"/>
  <c r="B50" i="88"/>
  <c r="B54" i="88"/>
  <c r="B58" i="88"/>
  <c r="B62" i="88"/>
  <c r="B66" i="88"/>
  <c r="B70" i="88"/>
  <c r="B74" i="88"/>
  <c r="B78" i="88"/>
  <c r="B82" i="88"/>
  <c r="B86" i="88"/>
  <c r="B90" i="88"/>
  <c r="B94" i="88"/>
  <c r="B98" i="88"/>
  <c r="B102" i="88"/>
  <c r="B106" i="88"/>
  <c r="B110" i="88"/>
  <c r="B114" i="88"/>
  <c r="B118" i="88"/>
  <c r="B122" i="88"/>
  <c r="B126" i="88"/>
  <c r="B130" i="88"/>
  <c r="B134" i="88"/>
  <c r="B138" i="88"/>
  <c r="B142" i="88"/>
  <c r="B146" i="88"/>
  <c r="B150" i="88"/>
  <c r="B154" i="88"/>
  <c r="B158" i="88"/>
  <c r="B162" i="88"/>
  <c r="B166" i="88"/>
  <c r="B170" i="88"/>
  <c r="B174" i="88"/>
  <c r="B178" i="88"/>
  <c r="B182" i="88"/>
  <c r="B186" i="88"/>
  <c r="B190" i="88"/>
  <c r="B194" i="88"/>
  <c r="B198" i="88"/>
  <c r="B202" i="88"/>
  <c r="B206" i="88"/>
  <c r="B210" i="88"/>
  <c r="B214" i="88"/>
  <c r="B218" i="88"/>
  <c r="B222" i="88"/>
  <c r="B226" i="88"/>
  <c r="B230" i="88"/>
  <c r="B234" i="88"/>
  <c r="B238" i="88"/>
  <c r="B242" i="88"/>
  <c r="B246" i="88"/>
  <c r="B250" i="88"/>
  <c r="B254" i="88"/>
  <c r="B258" i="88"/>
  <c r="B262" i="88"/>
  <c r="B266" i="88"/>
  <c r="B270" i="88"/>
  <c r="B274" i="88"/>
  <c r="B278" i="88"/>
  <c r="B282" i="88"/>
  <c r="B286" i="88"/>
  <c r="B290" i="88"/>
  <c r="B294" i="88"/>
  <c r="B298" i="88"/>
  <c r="B300" i="88"/>
  <c r="B304" i="88"/>
  <c r="B308" i="88"/>
  <c r="B314" i="88"/>
  <c r="B318" i="88"/>
  <c r="B322" i="88"/>
  <c r="B326" i="88"/>
  <c r="B330" i="88"/>
  <c r="B334" i="88"/>
  <c r="B338" i="88"/>
  <c r="B342" i="88"/>
  <c r="B346" i="88"/>
  <c r="B306" i="88"/>
  <c r="B316" i="88"/>
  <c r="B321" i="88"/>
  <c r="B327" i="88"/>
  <c r="B332" i="88"/>
  <c r="B337" i="88"/>
  <c r="B343" i="88"/>
  <c r="B348" i="88"/>
  <c r="B352" i="88"/>
  <c r="B356" i="88"/>
  <c r="B360" i="88"/>
  <c r="B364" i="88"/>
  <c r="B368" i="88"/>
  <c r="B372" i="88"/>
  <c r="B376" i="88"/>
  <c r="B380" i="88"/>
  <c r="B384" i="88"/>
  <c r="B388" i="88"/>
  <c r="B392" i="88"/>
  <c r="B396" i="88"/>
  <c r="B400" i="88"/>
  <c r="B404" i="88"/>
  <c r="B408" i="88"/>
  <c r="B412" i="88"/>
  <c r="B416" i="88"/>
  <c r="B420" i="88"/>
  <c r="B457" i="88"/>
  <c r="B461" i="88"/>
  <c r="B465" i="88"/>
  <c r="B469" i="88"/>
  <c r="B473" i="88"/>
  <c r="B477" i="88"/>
  <c r="B481" i="88"/>
  <c r="B485" i="88"/>
  <c r="B489" i="88"/>
  <c r="B493" i="88"/>
  <c r="B497" i="88"/>
  <c r="B501" i="88"/>
  <c r="B505" i="88"/>
  <c r="B509" i="88"/>
  <c r="B513" i="88"/>
  <c r="B517" i="88"/>
  <c r="B521" i="88"/>
  <c r="B525" i="88"/>
  <c r="B529" i="88"/>
  <c r="B533" i="88"/>
  <c r="B537" i="88"/>
  <c r="B541" i="88"/>
  <c r="B545" i="88"/>
  <c r="B549" i="88"/>
  <c r="B553" i="88"/>
  <c r="B557" i="88"/>
  <c r="B561" i="88"/>
  <c r="B565" i="88"/>
  <c r="B569" i="88"/>
  <c r="B573" i="88"/>
  <c r="B577" i="88"/>
  <c r="B581" i="88"/>
  <c r="B585" i="88"/>
  <c r="B589" i="88"/>
  <c r="B593" i="88"/>
  <c r="B597" i="88"/>
  <c r="B601" i="88"/>
  <c r="B605" i="88"/>
  <c r="B609" i="88"/>
  <c r="B613" i="88"/>
  <c r="B617" i="88"/>
  <c r="B621" i="88"/>
  <c r="B625" i="88"/>
  <c r="B629" i="88"/>
  <c r="B633" i="88"/>
  <c r="B637" i="88"/>
  <c r="B641" i="88"/>
  <c r="B645" i="88"/>
  <c r="B649" i="88"/>
  <c r="B653" i="88"/>
  <c r="B657" i="88"/>
  <c r="B661" i="88"/>
  <c r="B665" i="88"/>
  <c r="B669" i="88"/>
  <c r="B673" i="88"/>
  <c r="B677" i="88"/>
  <c r="B681" i="88"/>
  <c r="B307" i="88"/>
  <c r="B317" i="88"/>
  <c r="B323" i="88"/>
  <c r="B328" i="88"/>
  <c r="B333" i="88"/>
  <c r="B339" i="88"/>
  <c r="B344" i="88"/>
  <c r="B349" i="88"/>
  <c r="B353" i="88"/>
  <c r="B357" i="88"/>
  <c r="B361" i="88"/>
  <c r="B365" i="88"/>
  <c r="B369" i="88"/>
  <c r="B373" i="88"/>
  <c r="B377" i="88"/>
  <c r="B381" i="88"/>
  <c r="B385" i="88"/>
  <c r="B389" i="88"/>
  <c r="B393" i="88"/>
  <c r="B397" i="88"/>
  <c r="B401" i="88"/>
  <c r="B405" i="88"/>
  <c r="B409" i="88"/>
  <c r="B413" i="88"/>
  <c r="B417" i="88"/>
  <c r="B421" i="88"/>
  <c r="B454" i="88"/>
  <c r="B458" i="88"/>
  <c r="B462" i="88"/>
  <c r="B466" i="88"/>
  <c r="B470" i="88"/>
  <c r="B474" i="88"/>
  <c r="B478" i="88"/>
  <c r="B482" i="88"/>
  <c r="B486" i="88"/>
  <c r="B490" i="88"/>
  <c r="B494" i="88"/>
  <c r="B498" i="88"/>
  <c r="B502" i="88"/>
  <c r="B506" i="88"/>
  <c r="B510" i="88"/>
  <c r="B514" i="88"/>
  <c r="B518" i="88"/>
  <c r="B522" i="88"/>
  <c r="B526" i="88"/>
  <c r="B530" i="88"/>
  <c r="B534" i="88"/>
  <c r="B538" i="88"/>
  <c r="B542" i="88"/>
  <c r="B546" i="88"/>
  <c r="B550" i="88"/>
  <c r="B554" i="88"/>
  <c r="B558" i="88"/>
  <c r="B562" i="88"/>
  <c r="B566" i="88"/>
  <c r="B570" i="88"/>
  <c r="B574" i="88"/>
  <c r="B578" i="88"/>
  <c r="B582" i="88"/>
  <c r="B586" i="88"/>
  <c r="B590" i="88"/>
  <c r="B594" i="88"/>
  <c r="B598" i="88"/>
  <c r="B602" i="88"/>
  <c r="B606" i="88"/>
  <c r="B610" i="88"/>
  <c r="B614" i="88"/>
  <c r="B618" i="88"/>
  <c r="B622" i="88"/>
  <c r="B626" i="88"/>
  <c r="B630" i="88"/>
  <c r="B634" i="88"/>
  <c r="B638" i="88"/>
  <c r="B642" i="88"/>
  <c r="B646" i="88"/>
  <c r="B650" i="88"/>
  <c r="B654" i="88"/>
  <c r="B658" i="88"/>
  <c r="B662" i="88"/>
  <c r="B666" i="88"/>
  <c r="B670" i="88"/>
  <c r="B674" i="88"/>
  <c r="B310" i="88"/>
  <c r="B319" i="88"/>
  <c r="B324" i="88"/>
  <c r="B329" i="88"/>
  <c r="B335" i="88"/>
  <c r="B340" i="88"/>
  <c r="B345" i="88"/>
  <c r="B350" i="88"/>
  <c r="B354" i="88"/>
  <c r="B358" i="88"/>
  <c r="B362" i="88"/>
  <c r="B366" i="88"/>
  <c r="B370" i="88"/>
  <c r="B374" i="88"/>
  <c r="B378" i="88"/>
  <c r="B382" i="88"/>
  <c r="B386" i="88"/>
  <c r="B390" i="88"/>
  <c r="B394" i="88"/>
  <c r="B398" i="88"/>
  <c r="B402" i="88"/>
  <c r="B406" i="88"/>
  <c r="B410" i="88"/>
  <c r="B414" i="88"/>
  <c r="B418" i="88"/>
  <c r="B455" i="88"/>
  <c r="B459" i="88"/>
  <c r="B463" i="88"/>
  <c r="B467" i="88"/>
  <c r="B471" i="88"/>
  <c r="B475" i="88"/>
  <c r="B479" i="88"/>
  <c r="B483" i="88"/>
  <c r="B487" i="88"/>
  <c r="B491" i="88"/>
  <c r="B495" i="88"/>
  <c r="B499" i="88"/>
  <c r="B503" i="88"/>
  <c r="B507" i="88"/>
  <c r="B511" i="88"/>
  <c r="B515" i="88"/>
  <c r="B519" i="88"/>
  <c r="B523" i="88"/>
  <c r="B527" i="88"/>
  <c r="B531" i="88"/>
  <c r="B535" i="88"/>
  <c r="B539" i="88"/>
  <c r="B543" i="88"/>
  <c r="B547" i="88"/>
  <c r="B551" i="88"/>
  <c r="B555" i="88"/>
  <c r="B559" i="88"/>
  <c r="B563" i="88"/>
  <c r="B567" i="88"/>
  <c r="B571" i="88"/>
  <c r="B575" i="88"/>
  <c r="B579" i="88"/>
  <c r="B583" i="88"/>
  <c r="B587" i="88"/>
  <c r="B591" i="88"/>
  <c r="B595" i="88"/>
  <c r="B599" i="88"/>
  <c r="B603" i="88"/>
  <c r="B607" i="88"/>
  <c r="B611" i="88"/>
  <c r="B615" i="88"/>
  <c r="B619" i="88"/>
  <c r="B623" i="88"/>
  <c r="B627" i="88"/>
  <c r="B631" i="88"/>
  <c r="B635" i="88"/>
  <c r="B639" i="88"/>
  <c r="B643" i="88"/>
  <c r="B647" i="88"/>
  <c r="B651" i="88"/>
  <c r="B655" i="88"/>
  <c r="B659" i="88"/>
  <c r="B663" i="88"/>
  <c r="B667" i="88"/>
  <c r="B671" i="88"/>
  <c r="B311" i="88"/>
  <c r="B320" i="88"/>
  <c r="B325" i="88"/>
  <c r="B331" i="88"/>
  <c r="B336" i="88"/>
  <c r="B341" i="88"/>
  <c r="B347" i="88"/>
  <c r="B351" i="88"/>
  <c r="B355" i="88"/>
  <c r="B359" i="88"/>
  <c r="B363" i="88"/>
  <c r="B367" i="88"/>
  <c r="B371" i="88"/>
  <c r="B375" i="88"/>
  <c r="B379" i="88"/>
  <c r="B383" i="88"/>
  <c r="B387" i="88"/>
  <c r="B391" i="88"/>
  <c r="B395" i="88"/>
  <c r="B399" i="88"/>
  <c r="B403" i="88"/>
  <c r="B407" i="88"/>
  <c r="B411" i="88"/>
  <c r="B415" i="88"/>
  <c r="B419" i="88"/>
  <c r="B456" i="88"/>
  <c r="B460" i="88"/>
  <c r="B464" i="88"/>
  <c r="B468" i="88"/>
  <c r="B472" i="88"/>
  <c r="B476" i="88"/>
  <c r="B480" i="88"/>
  <c r="B484" i="88"/>
  <c r="B488" i="88"/>
  <c r="B492" i="88"/>
  <c r="B496" i="88"/>
  <c r="B500" i="88"/>
  <c r="B504" i="88"/>
  <c r="B508" i="88"/>
  <c r="B512" i="88"/>
  <c r="B516" i="88"/>
  <c r="B520" i="88"/>
  <c r="B524" i="88"/>
  <c r="B528" i="88"/>
  <c r="B532" i="88"/>
  <c r="B536" i="88"/>
  <c r="B540" i="88"/>
  <c r="B544" i="88"/>
  <c r="B548" i="88"/>
  <c r="B552" i="88"/>
  <c r="B556" i="88"/>
  <c r="B560" i="88"/>
  <c r="B564" i="88"/>
  <c r="B568" i="88"/>
  <c r="B572" i="88"/>
  <c r="B576" i="88"/>
  <c r="B580" i="88"/>
  <c r="B584" i="88"/>
  <c r="B588" i="88"/>
  <c r="B592" i="88"/>
  <c r="B596" i="88"/>
  <c r="B600" i="88"/>
  <c r="B604" i="88"/>
  <c r="B608" i="88"/>
  <c r="B612" i="88"/>
  <c r="B616" i="88"/>
  <c r="B620" i="88"/>
  <c r="B624" i="88"/>
  <c r="B628" i="88"/>
  <c r="B632" i="88"/>
  <c r="B636" i="88"/>
  <c r="B640" i="88"/>
  <c r="B644" i="88"/>
  <c r="B648" i="88"/>
  <c r="B652" i="88"/>
  <c r="B656" i="88"/>
  <c r="B660" i="88"/>
  <c r="B664" i="88"/>
  <c r="B668" i="88"/>
  <c r="B672" i="88"/>
  <c r="B676" i="88"/>
  <c r="B680" i="88"/>
  <c r="B684" i="88"/>
  <c r="B688" i="88"/>
  <c r="B692" i="88"/>
  <c r="B696" i="88"/>
  <c r="B700" i="88"/>
  <c r="B704" i="88"/>
  <c r="B708" i="88"/>
  <c r="B712" i="88"/>
  <c r="B716" i="88"/>
  <c r="B720" i="88"/>
  <c r="B724" i="88"/>
  <c r="B728" i="88"/>
  <c r="B732" i="88"/>
  <c r="B736" i="88"/>
  <c r="B740" i="88"/>
  <c r="B744" i="88"/>
  <c r="B675" i="88"/>
  <c r="B683" i="88"/>
  <c r="B689" i="88"/>
  <c r="B694" i="88"/>
  <c r="B699" i="88"/>
  <c r="B705" i="88"/>
  <c r="B710" i="88"/>
  <c r="B715" i="88"/>
  <c r="B721" i="88"/>
  <c r="B726" i="88"/>
  <c r="B731" i="88"/>
  <c r="B737" i="88"/>
  <c r="B742" i="88"/>
  <c r="B747" i="88"/>
  <c r="B751" i="88"/>
  <c r="B755" i="88"/>
  <c r="B759" i="88"/>
  <c r="B763" i="88"/>
  <c r="B767" i="88"/>
  <c r="B771" i="88"/>
  <c r="B775" i="88"/>
  <c r="B779" i="88"/>
  <c r="B783" i="88"/>
  <c r="B787" i="88"/>
  <c r="B791" i="88"/>
  <c r="B795" i="88"/>
  <c r="B799" i="88"/>
  <c r="B803" i="88"/>
  <c r="B807" i="88"/>
  <c r="B811" i="88"/>
  <c r="B815" i="88"/>
  <c r="B819" i="88"/>
  <c r="B823" i="88"/>
  <c r="B827" i="88"/>
  <c r="B831" i="88"/>
  <c r="B835" i="88"/>
  <c r="B839" i="88"/>
  <c r="B843" i="88"/>
  <c r="B847" i="88"/>
  <c r="B851" i="88"/>
  <c r="B855" i="88"/>
  <c r="B859" i="88"/>
  <c r="B863" i="88"/>
  <c r="B867" i="88"/>
  <c r="B871" i="88"/>
  <c r="B875" i="88"/>
  <c r="B879" i="88"/>
  <c r="B883" i="88"/>
  <c r="B887" i="88"/>
  <c r="B891" i="88"/>
  <c r="B895" i="88"/>
  <c r="B899" i="88"/>
  <c r="B903" i="88"/>
  <c r="B907" i="88"/>
  <c r="B911" i="88"/>
  <c r="B915" i="88"/>
  <c r="B919" i="88"/>
  <c r="B923" i="88"/>
  <c r="B927" i="88"/>
  <c r="B931" i="88"/>
  <c r="B935" i="88"/>
  <c r="B939" i="88"/>
  <c r="B943" i="88"/>
  <c r="B947" i="88"/>
  <c r="B951" i="88"/>
  <c r="B955" i="88"/>
  <c r="B959" i="88"/>
  <c r="B963" i="88"/>
  <c r="B967" i="88"/>
  <c r="B971" i="88"/>
  <c r="B975" i="88"/>
  <c r="B979" i="88"/>
  <c r="B983" i="88"/>
  <c r="B987" i="88"/>
  <c r="B991" i="88"/>
  <c r="B995" i="88"/>
  <c r="B999" i="88"/>
  <c r="B1003" i="88"/>
  <c r="B1007" i="88"/>
  <c r="B1011" i="88"/>
  <c r="B1015" i="88"/>
  <c r="B1019" i="88"/>
  <c r="B1023" i="88"/>
  <c r="B1027" i="88"/>
  <c r="B1031" i="88"/>
  <c r="B1035" i="88"/>
  <c r="B1039" i="88"/>
  <c r="B678" i="88"/>
  <c r="B685" i="88"/>
  <c r="B690" i="88"/>
  <c r="B695" i="88"/>
  <c r="B701" i="88"/>
  <c r="B706" i="88"/>
  <c r="B711" i="88"/>
  <c r="B717" i="88"/>
  <c r="B722" i="88"/>
  <c r="B727" i="88"/>
  <c r="B733" i="88"/>
  <c r="B738" i="88"/>
  <c r="B743" i="88"/>
  <c r="B748" i="88"/>
  <c r="B752" i="88"/>
  <c r="B756" i="88"/>
  <c r="B760" i="88"/>
  <c r="B764" i="88"/>
  <c r="B768" i="88"/>
  <c r="B772" i="88"/>
  <c r="B776" i="88"/>
  <c r="B780" i="88"/>
  <c r="B784" i="88"/>
  <c r="B788" i="88"/>
  <c r="B792" i="88"/>
  <c r="B796" i="88"/>
  <c r="B800" i="88"/>
  <c r="B804" i="88"/>
  <c r="B808" i="88"/>
  <c r="B812" i="88"/>
  <c r="B816" i="88"/>
  <c r="B820" i="88"/>
  <c r="B824" i="88"/>
  <c r="B828" i="88"/>
  <c r="B832" i="88"/>
  <c r="B836" i="88"/>
  <c r="B840" i="88"/>
  <c r="B844" i="88"/>
  <c r="B848" i="88"/>
  <c r="B852" i="88"/>
  <c r="B856" i="88"/>
  <c r="B860" i="88"/>
  <c r="B864" i="88"/>
  <c r="B868" i="88"/>
  <c r="B872" i="88"/>
  <c r="B876" i="88"/>
  <c r="B880" i="88"/>
  <c r="B884" i="88"/>
  <c r="B888" i="88"/>
  <c r="B892" i="88"/>
  <c r="B896" i="88"/>
  <c r="B900" i="88"/>
  <c r="B904" i="88"/>
  <c r="B908" i="88"/>
  <c r="B912" i="88"/>
  <c r="B916" i="88"/>
  <c r="B920" i="88"/>
  <c r="B924" i="88"/>
  <c r="B928" i="88"/>
  <c r="B932" i="88"/>
  <c r="B936" i="88"/>
  <c r="B940" i="88"/>
  <c r="B944" i="88"/>
  <c r="B948" i="88"/>
  <c r="B952" i="88"/>
  <c r="B956" i="88"/>
  <c r="B960" i="88"/>
  <c r="B964" i="88"/>
  <c r="B968" i="88"/>
  <c r="B972" i="88"/>
  <c r="B976" i="88"/>
  <c r="B980" i="88"/>
  <c r="B984" i="88"/>
  <c r="B988" i="88"/>
  <c r="B992" i="88"/>
  <c r="B996" i="88"/>
  <c r="B1000" i="88"/>
  <c r="B1004" i="88"/>
  <c r="B1008" i="88"/>
  <c r="B1012" i="88"/>
  <c r="B1016" i="88"/>
  <c r="B1020" i="88"/>
  <c r="B1024" i="88"/>
  <c r="B1028" i="88"/>
  <c r="B1032" i="88"/>
  <c r="B679" i="88"/>
  <c r="B686" i="88"/>
  <c r="B691" i="88"/>
  <c r="B697" i="88"/>
  <c r="B702" i="88"/>
  <c r="B707" i="88"/>
  <c r="B713" i="88"/>
  <c r="B718" i="88"/>
  <c r="B723" i="88"/>
  <c r="B729" i="88"/>
  <c r="B734" i="88"/>
  <c r="B739" i="88"/>
  <c r="B745" i="88"/>
  <c r="B749" i="88"/>
  <c r="B753" i="88"/>
  <c r="B757" i="88"/>
  <c r="B761" i="88"/>
  <c r="B765" i="88"/>
  <c r="B769" i="88"/>
  <c r="B773" i="88"/>
  <c r="B777" i="88"/>
  <c r="B781" i="88"/>
  <c r="B785" i="88"/>
  <c r="B789" i="88"/>
  <c r="B793" i="88"/>
  <c r="B797" i="88"/>
  <c r="B801" i="88"/>
  <c r="B805" i="88"/>
  <c r="B809" i="88"/>
  <c r="B813" i="88"/>
  <c r="B817" i="88"/>
  <c r="B821" i="88"/>
  <c r="B825" i="88"/>
  <c r="B829" i="88"/>
  <c r="B833" i="88"/>
  <c r="B837" i="88"/>
  <c r="B841" i="88"/>
  <c r="B845" i="88"/>
  <c r="B849" i="88"/>
  <c r="B853" i="88"/>
  <c r="B857" i="88"/>
  <c r="B861" i="88"/>
  <c r="B865" i="88"/>
  <c r="B869" i="88"/>
  <c r="B873" i="88"/>
  <c r="B877" i="88"/>
  <c r="B881" i="88"/>
  <c r="B885" i="88"/>
  <c r="B889" i="88"/>
  <c r="B893" i="88"/>
  <c r="B897" i="88"/>
  <c r="B901" i="88"/>
  <c r="B905" i="88"/>
  <c r="B909" i="88"/>
  <c r="B913" i="88"/>
  <c r="B917" i="88"/>
  <c r="B921" i="88"/>
  <c r="B925" i="88"/>
  <c r="B929" i="88"/>
  <c r="B933" i="88"/>
  <c r="B937" i="88"/>
  <c r="B941" i="88"/>
  <c r="B945" i="88"/>
  <c r="B949" i="88"/>
  <c r="B953" i="88"/>
  <c r="B957" i="88"/>
  <c r="B961" i="88"/>
  <c r="B965" i="88"/>
  <c r="B969" i="88"/>
  <c r="B973" i="88"/>
  <c r="B977" i="88"/>
  <c r="B981" i="88"/>
  <c r="B985" i="88"/>
  <c r="B989" i="88"/>
  <c r="B993" i="88"/>
  <c r="B997" i="88"/>
  <c r="B1001" i="88"/>
  <c r="B1005" i="88"/>
  <c r="B1009" i="88"/>
  <c r="B1013" i="88"/>
  <c r="B1017" i="88"/>
  <c r="B1021" i="88"/>
  <c r="B1025" i="88"/>
  <c r="B1029" i="88"/>
  <c r="B682" i="88"/>
  <c r="B687" i="88"/>
  <c r="B693" i="88"/>
  <c r="B698" i="88"/>
  <c r="B703" i="88"/>
  <c r="B709" i="88"/>
  <c r="B714" i="88"/>
  <c r="B719" i="88"/>
  <c r="B725" i="88"/>
  <c r="B730" i="88"/>
  <c r="B735" i="88"/>
  <c r="B741" i="88"/>
  <c r="B746" i="88"/>
  <c r="B750" i="88"/>
  <c r="B754" i="88"/>
  <c r="B758" i="88"/>
  <c r="B762" i="88"/>
  <c r="B766" i="88"/>
  <c r="B770" i="88"/>
  <c r="B774" i="88"/>
  <c r="B778" i="88"/>
  <c r="B782" i="88"/>
  <c r="B786" i="88"/>
  <c r="B790" i="88"/>
  <c r="B794" i="88"/>
  <c r="B798" i="88"/>
  <c r="B802" i="88"/>
  <c r="B806" i="88"/>
  <c r="B810" i="88"/>
  <c r="B814" i="88"/>
  <c r="B818" i="88"/>
  <c r="B822" i="88"/>
  <c r="B826" i="88"/>
  <c r="B830" i="88"/>
  <c r="B834" i="88"/>
  <c r="B838" i="88"/>
  <c r="B842" i="88"/>
  <c r="B846" i="88"/>
  <c r="B850" i="88"/>
  <c r="B854" i="88"/>
  <c r="B858" i="88"/>
  <c r="B862" i="88"/>
  <c r="B866" i="88"/>
  <c r="B870" i="88"/>
  <c r="B874" i="88"/>
  <c r="B878" i="88"/>
  <c r="B882" i="88"/>
  <c r="B886" i="88"/>
  <c r="B890" i="88"/>
  <c r="B894" i="88"/>
  <c r="B898" i="88"/>
  <c r="B902" i="88"/>
  <c r="B906" i="88"/>
  <c r="B910" i="88"/>
  <c r="B914" i="88"/>
  <c r="B918" i="88"/>
  <c r="B922" i="88"/>
  <c r="B926" i="88"/>
  <c r="B930" i="88"/>
  <c r="B934" i="88"/>
  <c r="B938" i="88"/>
  <c r="B942" i="88"/>
  <c r="B946" i="88"/>
  <c r="B950" i="88"/>
  <c r="B954" i="88"/>
  <c r="B958" i="88"/>
  <c r="B962" i="88"/>
  <c r="B966" i="88"/>
  <c r="B970" i="88"/>
  <c r="B974" i="88"/>
  <c r="B978" i="88"/>
  <c r="B982" i="88"/>
  <c r="B986" i="88"/>
  <c r="B990" i="88"/>
  <c r="B994" i="88"/>
  <c r="B998" i="88"/>
  <c r="B1002" i="88"/>
  <c r="B1006" i="88"/>
  <c r="B1010" i="88"/>
  <c r="B1014" i="88"/>
  <c r="B1018" i="88"/>
  <c r="B1022" i="88"/>
  <c r="B1026" i="88"/>
  <c r="B1030" i="88"/>
  <c r="B1034" i="88"/>
  <c r="B1038" i="88"/>
  <c r="B1042" i="88"/>
  <c r="B1046" i="88"/>
  <c r="B1050" i="88"/>
  <c r="B1054" i="88"/>
  <c r="B1058" i="88"/>
  <c r="B1062" i="88"/>
  <c r="B1066" i="88"/>
  <c r="B1070" i="88"/>
  <c r="B1074" i="88"/>
  <c r="B1078" i="88"/>
  <c r="B1082" i="88"/>
  <c r="B1086" i="88"/>
  <c r="B1090" i="88"/>
  <c r="B1094" i="88"/>
  <c r="B1098" i="88"/>
  <c r="B1102" i="88"/>
  <c r="B1106" i="88"/>
  <c r="B1110" i="88"/>
  <c r="B1114" i="88"/>
  <c r="B1118" i="88"/>
  <c r="B1122" i="88"/>
  <c r="B1126" i="88"/>
  <c r="B1130" i="88"/>
  <c r="B1134" i="88"/>
  <c r="B1138" i="88"/>
  <c r="B1033" i="88"/>
  <c r="B1041" i="88"/>
  <c r="B1047" i="88"/>
  <c r="B1052" i="88"/>
  <c r="B1057" i="88"/>
  <c r="B1063" i="88"/>
  <c r="B1068" i="88"/>
  <c r="B1073" i="88"/>
  <c r="B1079" i="88"/>
  <c r="B1084" i="88"/>
  <c r="B1089" i="88"/>
  <c r="B1095" i="88"/>
  <c r="B1100" i="88"/>
  <c r="B1105" i="88"/>
  <c r="B1111" i="88"/>
  <c r="B1116" i="88"/>
  <c r="B1121" i="88"/>
  <c r="B1127" i="88"/>
  <c r="B1132" i="88"/>
  <c r="B1137" i="88"/>
  <c r="B1142" i="88"/>
  <c r="B1146" i="88"/>
  <c r="B1150" i="88"/>
  <c r="B1154" i="88"/>
  <c r="B1158" i="88"/>
  <c r="B1162" i="88"/>
  <c r="B1166" i="88"/>
  <c r="B1170" i="88"/>
  <c r="B1174" i="88"/>
  <c r="B1178" i="88"/>
  <c r="B1182" i="88"/>
  <c r="B1186" i="88"/>
  <c r="B1190" i="88"/>
  <c r="B1194" i="88"/>
  <c r="B1198" i="88"/>
  <c r="B1202" i="88"/>
  <c r="B1206" i="88"/>
  <c r="B1210" i="88"/>
  <c r="B1214" i="88"/>
  <c r="B1218" i="88"/>
  <c r="B1222" i="88"/>
  <c r="B1226" i="88"/>
  <c r="B1230" i="88"/>
  <c r="B1234" i="88"/>
  <c r="B1238" i="88"/>
  <c r="B1242" i="88"/>
  <c r="B1246" i="88"/>
  <c r="B1250" i="88"/>
  <c r="B1254" i="88"/>
  <c r="B1258" i="88"/>
  <c r="B1262" i="88"/>
  <c r="B1266" i="88"/>
  <c r="B1270" i="88"/>
  <c r="B1274" i="88"/>
  <c r="B1278" i="88"/>
  <c r="B1282" i="88"/>
  <c r="B1286" i="88"/>
  <c r="B1290" i="88"/>
  <c r="B1294" i="88"/>
  <c r="B1298" i="88"/>
  <c r="B1302" i="88"/>
  <c r="B1306" i="88"/>
  <c r="B1310" i="88"/>
  <c r="B1314" i="88"/>
  <c r="B1318" i="88"/>
  <c r="B1322" i="88"/>
  <c r="B1326" i="88"/>
  <c r="B1330" i="88"/>
  <c r="B1334" i="88"/>
  <c r="B1338" i="88"/>
  <c r="B1342" i="88"/>
  <c r="B1346" i="88"/>
  <c r="B1354" i="88"/>
  <c r="B1362" i="88"/>
  <c r="B1370" i="88"/>
  <c r="B1378" i="88"/>
  <c r="B1386" i="88"/>
  <c r="B1394" i="88"/>
  <c r="B1402" i="88"/>
  <c r="B1414" i="88"/>
  <c r="B1422" i="88"/>
  <c r="B1430" i="88"/>
  <c r="B1438" i="88"/>
  <c r="B1446" i="88"/>
  <c r="B1411" i="88"/>
  <c r="B1423" i="88"/>
  <c r="B1435" i="88"/>
  <c r="B1447" i="88"/>
  <c r="B1412" i="88"/>
  <c r="B1036" i="88"/>
  <c r="B1043" i="88"/>
  <c r="B1048" i="88"/>
  <c r="B1053" i="88"/>
  <c r="B1059" i="88"/>
  <c r="B1064" i="88"/>
  <c r="B1069" i="88"/>
  <c r="B1075" i="88"/>
  <c r="B1080" i="88"/>
  <c r="B1085" i="88"/>
  <c r="B1091" i="88"/>
  <c r="B1096" i="88"/>
  <c r="B1101" i="88"/>
  <c r="B1107" i="88"/>
  <c r="B1112" i="88"/>
  <c r="B1117" i="88"/>
  <c r="B1123" i="88"/>
  <c r="B1128" i="88"/>
  <c r="B1133" i="88"/>
  <c r="B1139" i="88"/>
  <c r="B1143" i="88"/>
  <c r="B1147" i="88"/>
  <c r="B1151" i="88"/>
  <c r="B1155" i="88"/>
  <c r="B1159" i="88"/>
  <c r="B1163" i="88"/>
  <c r="B1167" i="88"/>
  <c r="B1171" i="88"/>
  <c r="B1175" i="88"/>
  <c r="B1179" i="88"/>
  <c r="B1183" i="88"/>
  <c r="B1187" i="88"/>
  <c r="B1191" i="88"/>
  <c r="B1195" i="88"/>
  <c r="B1199" i="88"/>
  <c r="B1203" i="88"/>
  <c r="B1207" i="88"/>
  <c r="B1211" i="88"/>
  <c r="B1215" i="88"/>
  <c r="B1219" i="88"/>
  <c r="B1223" i="88"/>
  <c r="B1227" i="88"/>
  <c r="B1231" i="88"/>
  <c r="B1235" i="88"/>
  <c r="B1239" i="88"/>
  <c r="B1243" i="88"/>
  <c r="B1247" i="88"/>
  <c r="B1251" i="88"/>
  <c r="B1255" i="88"/>
  <c r="B1259" i="88"/>
  <c r="B1263" i="88"/>
  <c r="B1267" i="88"/>
  <c r="B1271" i="88"/>
  <c r="B1275" i="88"/>
  <c r="B1279" i="88"/>
  <c r="B1283" i="88"/>
  <c r="B1287" i="88"/>
  <c r="B1291" i="88"/>
  <c r="B1295" i="88"/>
  <c r="B1299" i="88"/>
  <c r="B1303" i="88"/>
  <c r="B1307" i="88"/>
  <c r="B1311" i="88"/>
  <c r="B1315" i="88"/>
  <c r="B1319" i="88"/>
  <c r="B1323" i="88"/>
  <c r="B1327" i="88"/>
  <c r="B1331" i="88"/>
  <c r="B1335" i="88"/>
  <c r="B1339" i="88"/>
  <c r="B1343" i="88"/>
  <c r="B1347" i="88"/>
  <c r="B1351" i="88"/>
  <c r="B1355" i="88"/>
  <c r="B1359" i="88"/>
  <c r="B1363" i="88"/>
  <c r="B1367" i="88"/>
  <c r="B1371" i="88"/>
  <c r="B1375" i="88"/>
  <c r="B1379" i="88"/>
  <c r="B1383" i="88"/>
  <c r="B1387" i="88"/>
  <c r="B1391" i="88"/>
  <c r="B1395" i="88"/>
  <c r="B1399" i="88"/>
  <c r="B1403" i="88"/>
  <c r="B1415" i="88"/>
  <c r="B1427" i="88"/>
  <c r="B1439" i="88"/>
  <c r="B1408" i="88"/>
  <c r="B1424" i="88"/>
  <c r="B1037" i="88"/>
  <c r="B1044" i="88"/>
  <c r="B1049" i="88"/>
  <c r="B1055" i="88"/>
  <c r="B1060" i="88"/>
  <c r="B1065" i="88"/>
  <c r="B1071" i="88"/>
  <c r="B1076" i="88"/>
  <c r="B1081" i="88"/>
  <c r="B1087" i="88"/>
  <c r="B1092" i="88"/>
  <c r="B1097" i="88"/>
  <c r="B1103" i="88"/>
  <c r="B1108" i="88"/>
  <c r="B1113" i="88"/>
  <c r="B1119" i="88"/>
  <c r="B1124" i="88"/>
  <c r="B1129" i="88"/>
  <c r="B1135" i="88"/>
  <c r="B1140" i="88"/>
  <c r="B1144" i="88"/>
  <c r="B1148" i="88"/>
  <c r="B1152" i="88"/>
  <c r="B1156" i="88"/>
  <c r="B1160" i="88"/>
  <c r="B1164" i="88"/>
  <c r="B1168" i="88"/>
  <c r="B1172" i="88"/>
  <c r="B1176" i="88"/>
  <c r="B1180" i="88"/>
  <c r="B1184" i="88"/>
  <c r="B1188" i="88"/>
  <c r="B1192" i="88"/>
  <c r="B1196" i="88"/>
  <c r="B1200" i="88"/>
  <c r="B1204" i="88"/>
  <c r="B1208" i="88"/>
  <c r="B1212" i="88"/>
  <c r="B1216" i="88"/>
  <c r="B1220" i="88"/>
  <c r="B1224" i="88"/>
  <c r="B1228" i="88"/>
  <c r="B1232" i="88"/>
  <c r="B1236" i="88"/>
  <c r="B1240" i="88"/>
  <c r="B1244" i="88"/>
  <c r="B1248" i="88"/>
  <c r="B1252" i="88"/>
  <c r="B1256" i="88"/>
  <c r="B1260" i="88"/>
  <c r="B1264" i="88"/>
  <c r="B1268" i="88"/>
  <c r="B1272" i="88"/>
  <c r="B1276" i="88"/>
  <c r="B1280" i="88"/>
  <c r="B1284" i="88"/>
  <c r="B1288" i="88"/>
  <c r="B1292" i="88"/>
  <c r="B1296" i="88"/>
  <c r="B1300" i="88"/>
  <c r="B1304" i="88"/>
  <c r="B1308" i="88"/>
  <c r="B1312" i="88"/>
  <c r="B1316" i="88"/>
  <c r="B1320" i="88"/>
  <c r="B1324" i="88"/>
  <c r="B1328" i="88"/>
  <c r="B1332" i="88"/>
  <c r="B1336" i="88"/>
  <c r="B1340" i="88"/>
  <c r="B1344" i="88"/>
  <c r="B1348" i="88"/>
  <c r="B1352" i="88"/>
  <c r="B1356" i="88"/>
  <c r="B1360" i="88"/>
  <c r="B1364" i="88"/>
  <c r="B1368" i="88"/>
  <c r="B1372" i="88"/>
  <c r="B1376" i="88"/>
  <c r="B1380" i="88"/>
  <c r="B1384" i="88"/>
  <c r="B1388" i="88"/>
  <c r="B1392" i="88"/>
  <c r="B1396" i="88"/>
  <c r="B1400" i="88"/>
  <c r="B1040" i="88"/>
  <c r="B1045" i="88"/>
  <c r="B1051" i="88"/>
  <c r="B1056" i="88"/>
  <c r="B1061" i="88"/>
  <c r="B1067" i="88"/>
  <c r="B1072" i="88"/>
  <c r="B1077" i="88"/>
  <c r="B1083" i="88"/>
  <c r="B1088" i="88"/>
  <c r="B1093" i="88"/>
  <c r="B1099" i="88"/>
  <c r="B1104" i="88"/>
  <c r="B1109" i="88"/>
  <c r="B1115" i="88"/>
  <c r="B1120" i="88"/>
  <c r="B1125" i="88"/>
  <c r="B1131" i="88"/>
  <c r="B1136" i="88"/>
  <c r="B1141" i="88"/>
  <c r="B1145" i="88"/>
  <c r="B1149" i="88"/>
  <c r="B1153" i="88"/>
  <c r="B1157" i="88"/>
  <c r="B1161" i="88"/>
  <c r="B1165" i="88"/>
  <c r="B1169" i="88"/>
  <c r="B1173" i="88"/>
  <c r="B1177" i="88"/>
  <c r="B1181" i="88"/>
  <c r="B1185" i="88"/>
  <c r="B1189" i="88"/>
  <c r="B1193" i="88"/>
  <c r="B1197" i="88"/>
  <c r="B1201" i="88"/>
  <c r="B1205" i="88"/>
  <c r="B1209" i="88"/>
  <c r="B1213" i="88"/>
  <c r="B1217" i="88"/>
  <c r="B1221" i="88"/>
  <c r="B1225" i="88"/>
  <c r="B1229" i="88"/>
  <c r="B1233" i="88"/>
  <c r="B1237" i="88"/>
  <c r="B1241" i="88"/>
  <c r="B1245" i="88"/>
  <c r="B1249" i="88"/>
  <c r="B1253" i="88"/>
  <c r="B1257" i="88"/>
  <c r="B1261" i="88"/>
  <c r="B1265" i="88"/>
  <c r="B1269" i="88"/>
  <c r="B1273" i="88"/>
  <c r="B1277" i="88"/>
  <c r="B1281" i="88"/>
  <c r="B1285" i="88"/>
  <c r="B1289" i="88"/>
  <c r="B1293" i="88"/>
  <c r="B1297" i="88"/>
  <c r="B1301" i="88"/>
  <c r="B1305" i="88"/>
  <c r="B1309" i="88"/>
  <c r="B1313" i="88"/>
  <c r="B1317" i="88"/>
  <c r="B1321" i="88"/>
  <c r="B1325" i="88"/>
  <c r="B1329" i="88"/>
  <c r="B1333" i="88"/>
  <c r="B1337" i="88"/>
  <c r="B1341" i="88"/>
  <c r="B1345" i="88"/>
  <c r="B1349" i="88"/>
  <c r="B1353" i="88"/>
  <c r="B1357" i="88"/>
  <c r="B1361" i="88"/>
  <c r="B1365" i="88"/>
  <c r="B1369" i="88"/>
  <c r="B1373" i="88"/>
  <c r="B1377" i="88"/>
  <c r="B1381" i="88"/>
  <c r="B1385" i="88"/>
  <c r="B1389" i="88"/>
  <c r="B1393" i="88"/>
  <c r="B1397" i="88"/>
  <c r="B1401" i="88"/>
  <c r="B1405" i="88"/>
  <c r="B1409" i="88"/>
  <c r="B1413" i="88"/>
  <c r="B1417" i="88"/>
  <c r="B1421" i="88"/>
  <c r="B1425" i="88"/>
  <c r="B1429" i="88"/>
  <c r="B1433" i="88"/>
  <c r="B1437" i="88"/>
  <c r="B1441" i="88"/>
  <c r="B1445" i="88"/>
  <c r="B1350" i="88"/>
  <c r="B1358" i="88"/>
  <c r="B1366" i="88"/>
  <c r="B1374" i="88"/>
  <c r="B1382" i="88"/>
  <c r="B1390" i="88"/>
  <c r="B1398" i="88"/>
  <c r="B1406" i="88"/>
  <c r="B1410" i="88"/>
  <c r="B1418" i="88"/>
  <c r="B1426" i="88"/>
  <c r="B1434" i="88"/>
  <c r="B1442" i="88"/>
  <c r="B1407" i="88"/>
  <c r="B1419" i="88"/>
  <c r="B1431" i="88"/>
  <c r="B1443" i="88"/>
  <c r="B1404" i="88"/>
  <c r="B1416" i="88"/>
  <c r="B1436" i="88"/>
  <c r="B1420" i="88"/>
  <c r="B1440" i="88"/>
  <c r="B1428" i="88"/>
  <c r="B1444" i="88"/>
  <c r="B1432" i="88"/>
  <c r="A11" i="87"/>
  <c r="F35" i="87"/>
  <c r="H84" i="70"/>
  <c r="H79" i="70"/>
  <c r="G58" i="70"/>
  <c r="J80" i="70"/>
  <c r="J81" i="70"/>
  <c r="H83" i="70"/>
  <c r="H82" i="70"/>
  <c r="J83" i="70"/>
  <c r="J73" i="70"/>
  <c r="L73" i="70" s="1"/>
  <c r="J72" i="70"/>
  <c r="J79" i="70"/>
  <c r="H80" i="70"/>
  <c r="H81" i="70"/>
  <c r="L81" i="70" s="1"/>
  <c r="J74" i="70"/>
  <c r="J84" i="70"/>
  <c r="J82" i="70"/>
  <c r="H66" i="70"/>
  <c r="L66" i="70" s="1"/>
  <c r="B6" i="88"/>
  <c r="H34" i="70"/>
  <c r="H21" i="70"/>
  <c r="L21" i="70" s="1"/>
  <c r="L44" i="70"/>
  <c r="L50" i="70"/>
  <c r="H36" i="70"/>
  <c r="H63" i="70"/>
  <c r="L63" i="70" s="1"/>
  <c r="L47" i="70"/>
  <c r="L49" i="70"/>
  <c r="L41" i="70"/>
  <c r="L54" i="70"/>
  <c r="L48" i="70"/>
  <c r="K24" i="70"/>
  <c r="K22" i="70"/>
  <c r="K20" i="70"/>
  <c r="K18" i="70"/>
  <c r="K16" i="70"/>
  <c r="K14" i="70"/>
  <c r="K12" i="70"/>
  <c r="H53" i="70"/>
  <c r="H26" i="70"/>
  <c r="J52" i="70"/>
  <c r="J43" i="70"/>
  <c r="J35" i="70"/>
  <c r="J39" i="70"/>
  <c r="J51" i="70"/>
  <c r="J45" i="70"/>
  <c r="J27" i="70"/>
  <c r="J28" i="70"/>
  <c r="H52" i="70"/>
  <c r="L52" i="70" s="1"/>
  <c r="H43" i="70"/>
  <c r="L43" i="70" s="1"/>
  <c r="H35" i="70"/>
  <c r="L35" i="70" s="1"/>
  <c r="H39" i="70"/>
  <c r="L39" i="70" s="1"/>
  <c r="H51" i="70"/>
  <c r="L51" i="70" s="1"/>
  <c r="H45" i="70"/>
  <c r="L45" i="70" s="1"/>
  <c r="H27" i="70"/>
  <c r="L27" i="70" s="1"/>
  <c r="H28" i="70"/>
  <c r="L28" i="70" s="1"/>
  <c r="J53" i="70"/>
  <c r="J34" i="70"/>
  <c r="J36" i="70"/>
  <c r="J26" i="70"/>
  <c r="K25" i="70"/>
  <c r="K23" i="70"/>
  <c r="K21" i="70"/>
  <c r="K19" i="70"/>
  <c r="K17" i="70"/>
  <c r="K15" i="70"/>
  <c r="K13" i="70"/>
  <c r="L1456" i="88"/>
  <c r="J14" i="75"/>
  <c r="H13" i="70"/>
  <c r="L13" i="70" s="1"/>
  <c r="H17" i="70"/>
  <c r="L17" i="70" s="1"/>
  <c r="H23" i="70"/>
  <c r="L23" i="70" s="1"/>
  <c r="H24" i="70"/>
  <c r="H20" i="70"/>
  <c r="H18" i="70"/>
  <c r="H16" i="70"/>
  <c r="H12" i="70"/>
  <c r="H14" i="70"/>
  <c r="H60" i="70"/>
  <c r="H62" i="70"/>
  <c r="J20" i="70"/>
  <c r="J14" i="70"/>
  <c r="J12" i="70"/>
  <c r="J18" i="70"/>
  <c r="J16" i="70"/>
  <c r="J24" i="70"/>
  <c r="J64" i="70"/>
  <c r="J60" i="70"/>
  <c r="J62" i="70"/>
  <c r="F28" i="87"/>
  <c r="F29" i="87"/>
  <c r="F13" i="75"/>
  <c r="B61" i="70"/>
  <c r="A61" i="70" s="1"/>
  <c r="A60" i="70"/>
  <c r="B73" i="70"/>
  <c r="B13" i="70"/>
  <c r="A12" i="70"/>
  <c r="N1452" i="88"/>
  <c r="F77" i="84"/>
  <c r="E5" i="84"/>
  <c r="F69" i="84"/>
  <c r="A128" i="84"/>
  <c r="F14" i="84"/>
  <c r="F93" i="84"/>
  <c r="B5" i="88"/>
  <c r="F73" i="84"/>
  <c r="F85" i="84"/>
  <c r="F101" i="84"/>
  <c r="F102" i="84"/>
  <c r="F88" i="84"/>
  <c r="K62" i="70"/>
  <c r="K63" i="70"/>
  <c r="L76" i="70"/>
  <c r="K87" i="70"/>
  <c r="K74" i="70"/>
  <c r="L67" i="70"/>
  <c r="F117" i="84"/>
  <c r="G125" i="84"/>
  <c r="F118" i="84"/>
  <c r="F109" i="84"/>
  <c r="F110" i="84"/>
  <c r="F81" i="84"/>
  <c r="F89" i="84"/>
  <c r="F97" i="84"/>
  <c r="F105" i="84"/>
  <c r="F113" i="84"/>
  <c r="F121" i="84"/>
  <c r="F98" i="84"/>
  <c r="F106" i="84"/>
  <c r="F114" i="84"/>
  <c r="F122" i="84"/>
  <c r="F92" i="84"/>
  <c r="H125" i="84"/>
  <c r="F67" i="84"/>
  <c r="F71" i="84"/>
  <c r="F75" i="84"/>
  <c r="F79" i="84"/>
  <c r="F83" i="84"/>
  <c r="F87" i="84"/>
  <c r="F91" i="84"/>
  <c r="F95" i="84"/>
  <c r="F99" i="84"/>
  <c r="F103" i="84"/>
  <c r="F107" i="84"/>
  <c r="F111" i="84"/>
  <c r="F115" i="84"/>
  <c r="F119" i="84"/>
  <c r="F123" i="84"/>
  <c r="F96" i="84"/>
  <c r="F100" i="84"/>
  <c r="F104" i="84"/>
  <c r="F108" i="84"/>
  <c r="F112" i="84"/>
  <c r="F116" i="84"/>
  <c r="F120" i="84"/>
  <c r="F94" i="84"/>
  <c r="F90" i="84"/>
  <c r="K66" i="70"/>
  <c r="K79" i="70"/>
  <c r="K80" i="70"/>
  <c r="K75" i="70"/>
  <c r="K60" i="70"/>
  <c r="K81" i="70"/>
  <c r="H64" i="70"/>
  <c r="G64" i="70"/>
  <c r="K64" i="70" s="1"/>
  <c r="K14" i="75"/>
  <c r="K15" i="75" s="1"/>
  <c r="K16" i="75" s="1"/>
  <c r="K17" i="75" s="1"/>
  <c r="K18" i="75" s="1"/>
  <c r="K19" i="75" s="1"/>
  <c r="K20" i="75" s="1"/>
  <c r="K21" i="75" s="1"/>
  <c r="K22" i="75" s="1"/>
  <c r="K23" i="75" s="1"/>
  <c r="K24" i="75" s="1"/>
  <c r="K25" i="75" s="1"/>
  <c r="K26" i="75" s="1"/>
  <c r="K27" i="75" s="1"/>
  <c r="K28" i="75" s="1"/>
  <c r="K29" i="75" s="1"/>
  <c r="K30" i="75" s="1"/>
  <c r="K31" i="75" s="1"/>
  <c r="K32" i="75" s="1"/>
  <c r="K61" i="70"/>
  <c r="K77" i="70"/>
  <c r="L15" i="70"/>
  <c r="I90" i="70"/>
  <c r="K84" i="70"/>
  <c r="K83" i="70"/>
  <c r="L19" i="70"/>
  <c r="I73" i="75"/>
  <c r="L25" i="70"/>
  <c r="L87" i="70"/>
  <c r="L22" i="70"/>
  <c r="A15" i="84"/>
  <c r="A16" i="84" s="1"/>
  <c r="A17" i="84" s="1"/>
  <c r="A18" i="84" s="1"/>
  <c r="A19" i="84" s="1"/>
  <c r="A20" i="84" s="1"/>
  <c r="A21" i="84" s="1"/>
  <c r="A22" i="84" s="1"/>
  <c r="A23" i="84" s="1"/>
  <c r="A24" i="84" s="1"/>
  <c r="A25" i="84" s="1"/>
  <c r="A26" i="84" s="1"/>
  <c r="A27" i="84" s="1"/>
  <c r="A28" i="84" s="1"/>
  <c r="A29" i="84" s="1"/>
  <c r="A30" i="84" s="1"/>
  <c r="A31" i="84" s="1"/>
  <c r="A32" i="84" s="1"/>
  <c r="A33" i="84" s="1"/>
  <c r="A34" i="84" s="1"/>
  <c r="A35" i="84" s="1"/>
  <c r="A36" i="84" s="1"/>
  <c r="A37" i="84" s="1"/>
  <c r="A38" i="84" s="1"/>
  <c r="A39" i="84" s="1"/>
  <c r="A40" i="84" s="1"/>
  <c r="A41" i="84" s="1"/>
  <c r="A42" i="84" s="1"/>
  <c r="A43" i="84" s="1"/>
  <c r="A44" i="84" s="1"/>
  <c r="A45" i="84" s="1"/>
  <c r="A46" i="84" s="1"/>
  <c r="A47" i="84" s="1"/>
  <c r="A48" i="84" s="1"/>
  <c r="A49" i="84" s="1"/>
  <c r="A50" i="84" s="1"/>
  <c r="A51" i="84" s="1"/>
  <c r="A52" i="84" s="1"/>
  <c r="A53" i="84" s="1"/>
  <c r="A54" i="84" s="1"/>
  <c r="A55" i="84" s="1"/>
  <c r="A56" i="84" s="1"/>
  <c r="A57" i="84" s="1"/>
  <c r="A58" i="84" s="1"/>
  <c r="A59" i="84" s="1"/>
  <c r="A60" i="84" s="1"/>
  <c r="A61" i="84" s="1"/>
  <c r="A62" i="84" s="1"/>
  <c r="A63" i="84" s="1"/>
  <c r="A64" i="84" s="1"/>
  <c r="A65" i="84" s="1"/>
  <c r="A66" i="84" s="1"/>
  <c r="A67" i="84" s="1"/>
  <c r="A68" i="84" s="1"/>
  <c r="A69" i="84" s="1"/>
  <c r="A70" i="84" s="1"/>
  <c r="A71" i="84" s="1"/>
  <c r="A72" i="84" s="1"/>
  <c r="A73" i="84" s="1"/>
  <c r="A74" i="84" s="1"/>
  <c r="A75" i="84" s="1"/>
  <c r="A76" i="84" s="1"/>
  <c r="A77" i="84" s="1"/>
  <c r="A78" i="84" s="1"/>
  <c r="A79" i="84" s="1"/>
  <c r="A80" i="84" s="1"/>
  <c r="A81" i="84" s="1"/>
  <c r="A82" i="84" s="1"/>
  <c r="A83" i="84" s="1"/>
  <c r="A84" i="84" s="1"/>
  <c r="I14" i="84"/>
  <c r="I15" i="84" s="1"/>
  <c r="I16" i="84" s="1"/>
  <c r="I17" i="84" s="1"/>
  <c r="I18" i="84" s="1"/>
  <c r="I19" i="84" s="1"/>
  <c r="I20" i="84" s="1"/>
  <c r="I21" i="84" s="1"/>
  <c r="I22" i="84" s="1"/>
  <c r="I23" i="84" s="1"/>
  <c r="I24" i="84" s="1"/>
  <c r="I25" i="84" s="1"/>
  <c r="I26" i="84" s="1"/>
  <c r="I27" i="84" s="1"/>
  <c r="I28" i="84" s="1"/>
  <c r="I29" i="84" s="1"/>
  <c r="I30" i="84" s="1"/>
  <c r="I31" i="84" s="1"/>
  <c r="I32" i="84" s="1"/>
  <c r="I33" i="84" s="1"/>
  <c r="I34" i="84" s="1"/>
  <c r="I35" i="84" s="1"/>
  <c r="I36" i="84" s="1"/>
  <c r="I37" i="84" s="1"/>
  <c r="I38" i="84" s="1"/>
  <c r="I39" i="84" s="1"/>
  <c r="I40" i="84" s="1"/>
  <c r="I41" i="84" s="1"/>
  <c r="I42" i="84" s="1"/>
  <c r="I43" i="84" s="1"/>
  <c r="I44" i="84" s="1"/>
  <c r="I45" i="84" s="1"/>
  <c r="I46" i="84" s="1"/>
  <c r="I47" i="84" s="1"/>
  <c r="I48" i="84" s="1"/>
  <c r="I49" i="84" s="1"/>
  <c r="I50" i="84" s="1"/>
  <c r="I51" i="84" s="1"/>
  <c r="I52" i="84" s="1"/>
  <c r="I53" i="84" s="1"/>
  <c r="I54" i="84" s="1"/>
  <c r="I55" i="84" s="1"/>
  <c r="I56" i="84" s="1"/>
  <c r="I57" i="84" s="1"/>
  <c r="I58" i="84" s="1"/>
  <c r="I59" i="84" s="1"/>
  <c r="I60" i="84" s="1"/>
  <c r="I61" i="84" s="1"/>
  <c r="I62" i="84" s="1"/>
  <c r="I63" i="84" s="1"/>
  <c r="I64" i="84" s="1"/>
  <c r="I65" i="84" s="1"/>
  <c r="I66" i="84" s="1"/>
  <c r="I67" i="84" s="1"/>
  <c r="I68" i="84" s="1"/>
  <c r="I69" i="84" s="1"/>
  <c r="I70" i="84" s="1"/>
  <c r="I71" i="84" s="1"/>
  <c r="I72" i="84" s="1"/>
  <c r="I73" i="84" s="1"/>
  <c r="I74" i="84" s="1"/>
  <c r="I75" i="84" s="1"/>
  <c r="I76" i="84" s="1"/>
  <c r="I77" i="84" s="1"/>
  <c r="I78" i="84" s="1"/>
  <c r="I79" i="84" s="1"/>
  <c r="I80" i="84" s="1"/>
  <c r="I81" i="84" s="1"/>
  <c r="I82" i="84" s="1"/>
  <c r="I83" i="84" s="1"/>
  <c r="I84" i="84" s="1"/>
  <c r="B18" i="89"/>
  <c r="C18" i="89" s="1"/>
  <c r="B26" i="89"/>
  <c r="C26" i="89" s="1"/>
  <c r="B32" i="89"/>
  <c r="C32" i="89" s="1"/>
  <c r="B36" i="89"/>
  <c r="C36" i="89" s="1"/>
  <c r="B40" i="89"/>
  <c r="C40" i="89" s="1"/>
  <c r="I43" i="89"/>
  <c r="I47" i="89"/>
  <c r="I51" i="89"/>
  <c r="B56" i="89"/>
  <c r="C56" i="89" s="1"/>
  <c r="B60" i="89"/>
  <c r="C60" i="89" s="1"/>
  <c r="G16" i="89"/>
  <c r="D19" i="89"/>
  <c r="A22" i="89"/>
  <c r="G24" i="89"/>
  <c r="D27" i="89"/>
  <c r="A30" i="89"/>
  <c r="G32" i="89"/>
  <c r="A35" i="89"/>
  <c r="A37" i="89"/>
  <c r="A39" i="89"/>
  <c r="A41" i="89"/>
  <c r="A43" i="89"/>
  <c r="A45" i="89"/>
  <c r="A47" i="89"/>
  <c r="A49" i="89"/>
  <c r="A51" i="89"/>
  <c r="A53" i="89"/>
  <c r="A55" i="89"/>
  <c r="D56" i="89"/>
  <c r="H57" i="89"/>
  <c r="G58" i="89"/>
  <c r="D59" i="89"/>
  <c r="A60" i="89"/>
  <c r="I60" i="89"/>
  <c r="G14" i="89"/>
  <c r="H50" i="89"/>
  <c r="H34" i="89"/>
  <c r="H30" i="89"/>
  <c r="H26" i="89"/>
  <c r="H22" i="89"/>
  <c r="H18" i="89"/>
  <c r="B22" i="89"/>
  <c r="C22" i="89" s="1"/>
  <c r="B30" i="89"/>
  <c r="C30" i="89" s="1"/>
  <c r="B34" i="89"/>
  <c r="C34" i="89" s="1"/>
  <c r="B38" i="89"/>
  <c r="C38" i="89" s="1"/>
  <c r="B42" i="89"/>
  <c r="C42" i="89" s="1"/>
  <c r="B46" i="89"/>
  <c r="C46" i="89" s="1"/>
  <c r="B50" i="89"/>
  <c r="C50" i="89" s="1"/>
  <c r="B54" i="89"/>
  <c r="C54" i="89" s="1"/>
  <c r="B58" i="89"/>
  <c r="C58" i="89" s="1"/>
  <c r="B14" i="89"/>
  <c r="C14" i="89" s="1"/>
  <c r="D15" i="89"/>
  <c r="A18" i="89"/>
  <c r="G20" i="89"/>
  <c r="D23" i="89"/>
  <c r="A26" i="89"/>
  <c r="G28" i="89"/>
  <c r="D31" i="89"/>
  <c r="A34" i="89"/>
  <c r="A36" i="89"/>
  <c r="A38" i="89"/>
  <c r="A40" i="89"/>
  <c r="A42" i="89"/>
  <c r="A44" i="89"/>
  <c r="A46" i="89"/>
  <c r="A48" i="89"/>
  <c r="A50" i="89"/>
  <c r="A52" i="89"/>
  <c r="A54" i="89"/>
  <c r="H55" i="89"/>
  <c r="A57" i="89"/>
  <c r="A58" i="89"/>
  <c r="I58" i="89"/>
  <c r="H59" i="89"/>
  <c r="G60" i="89"/>
  <c r="H37" i="89"/>
  <c r="H39" i="89"/>
  <c r="H41" i="89"/>
  <c r="H43" i="89"/>
  <c r="H45" i="89"/>
  <c r="H47" i="89"/>
  <c r="H49" i="89"/>
  <c r="H51" i="89"/>
  <c r="H53" i="89"/>
  <c r="H14" i="89"/>
  <c r="H35" i="89"/>
  <c r="H33" i="89"/>
  <c r="H31" i="89"/>
  <c r="H29" i="89"/>
  <c r="H27" i="89"/>
  <c r="H25" i="89"/>
  <c r="H23" i="89"/>
  <c r="H21" i="89"/>
  <c r="H19" i="89"/>
  <c r="H17" i="89"/>
  <c r="H15" i="89"/>
  <c r="B15" i="89"/>
  <c r="C15" i="89" s="1"/>
  <c r="H38" i="89"/>
  <c r="H40" i="89"/>
  <c r="H42" i="89"/>
  <c r="H44" i="89"/>
  <c r="H46" i="89"/>
  <c r="H48" i="89"/>
  <c r="H52" i="89"/>
  <c r="H54" i="89"/>
  <c r="H36" i="89"/>
  <c r="H32" i="89"/>
  <c r="H28" i="89"/>
  <c r="H24" i="89"/>
  <c r="H20" i="89"/>
  <c r="H16" i="89"/>
  <c r="H14" i="75"/>
  <c r="A14" i="89"/>
  <c r="D14" i="89"/>
  <c r="H60" i="89"/>
  <c r="D60" i="89"/>
  <c r="I59" i="89"/>
  <c r="G59" i="89"/>
  <c r="A59" i="89"/>
  <c r="H58" i="89"/>
  <c r="D58" i="89"/>
  <c r="I57" i="89"/>
  <c r="D57" i="89"/>
  <c r="H56" i="89"/>
  <c r="A56" i="89"/>
  <c r="D55" i="89"/>
  <c r="D54" i="89"/>
  <c r="D53" i="89"/>
  <c r="D52" i="89"/>
  <c r="D51" i="89"/>
  <c r="D50" i="89"/>
  <c r="D49" i="89"/>
  <c r="D48" i="89"/>
  <c r="D47" i="89"/>
  <c r="D46" i="89"/>
  <c r="D45" i="89"/>
  <c r="D44" i="89"/>
  <c r="D43" i="89"/>
  <c r="D41" i="89"/>
  <c r="D40" i="89"/>
  <c r="D39" i="89"/>
  <c r="D38" i="89"/>
  <c r="D37" i="89"/>
  <c r="D36" i="89"/>
  <c r="D34" i="89"/>
  <c r="A32" i="89"/>
  <c r="D29" i="89"/>
  <c r="A28" i="89"/>
  <c r="D25" i="89"/>
  <c r="G22" i="89"/>
  <c r="A20" i="89"/>
  <c r="D17" i="89"/>
  <c r="A16" i="89"/>
  <c r="B57" i="89"/>
  <c r="C57" i="89" s="1"/>
  <c r="B55" i="89"/>
  <c r="C55" i="89" s="1"/>
  <c r="I52" i="89"/>
  <c r="B51" i="89"/>
  <c r="C51" i="89" s="1"/>
  <c r="I48" i="89"/>
  <c r="B47" i="89"/>
  <c r="C47" i="89" s="1"/>
  <c r="B45" i="89"/>
  <c r="C45" i="89" s="1"/>
  <c r="I42" i="89"/>
  <c r="B41" i="89"/>
  <c r="C41" i="89" s="1"/>
  <c r="B37" i="89"/>
  <c r="C37" i="89" s="1"/>
  <c r="B35" i="89"/>
  <c r="C35" i="89" s="1"/>
  <c r="B31" i="89"/>
  <c r="C31" i="89" s="1"/>
  <c r="B24" i="89"/>
  <c r="C24" i="89" s="1"/>
  <c r="B16" i="89"/>
  <c r="C16" i="89" s="1"/>
  <c r="L80" i="70"/>
  <c r="L77" i="70"/>
  <c r="K67" i="70"/>
  <c r="K65" i="70"/>
  <c r="L83" i="70"/>
  <c r="I70" i="70"/>
  <c r="L65" i="70"/>
  <c r="K82" i="70"/>
  <c r="K76" i="70"/>
  <c r="K73" i="70"/>
  <c r="D42" i="89"/>
  <c r="D35" i="89"/>
  <c r="D33" i="89"/>
  <c r="G30" i="89"/>
  <c r="G26" i="89"/>
  <c r="A24" i="89"/>
  <c r="D21" i="89"/>
  <c r="G18" i="89"/>
  <c r="I14" i="89"/>
  <c r="B59" i="89"/>
  <c r="C59" i="89" s="1"/>
  <c r="B39" i="89"/>
  <c r="C39" i="89" s="1"/>
  <c r="B33" i="89"/>
  <c r="C33" i="89" s="1"/>
  <c r="B28" i="89"/>
  <c r="C28" i="89" s="1"/>
  <c r="B20" i="89"/>
  <c r="C20" i="89" s="1"/>
  <c r="K85" i="70"/>
  <c r="I58" i="70"/>
  <c r="G57" i="89"/>
  <c r="I56" i="89"/>
  <c r="I28" i="89"/>
  <c r="I55" i="89"/>
  <c r="G55" i="89"/>
  <c r="I26" i="89"/>
  <c r="G53" i="89"/>
  <c r="G52" i="89"/>
  <c r="I24" i="89"/>
  <c r="G49" i="89"/>
  <c r="G48" i="89"/>
  <c r="I22" i="89"/>
  <c r="G46" i="89"/>
  <c r="G45" i="89"/>
  <c r="G44" i="89"/>
  <c r="I20" i="89"/>
  <c r="G42" i="89"/>
  <c r="G41" i="89"/>
  <c r="I18" i="89"/>
  <c r="G38" i="89"/>
  <c r="G37" i="89"/>
  <c r="I16" i="89"/>
  <c r="G35" i="89"/>
  <c r="G34" i="89"/>
  <c r="G33" i="89"/>
  <c r="A33" i="89"/>
  <c r="D32" i="89"/>
  <c r="G31" i="89"/>
  <c r="A31" i="89"/>
  <c r="D30" i="89"/>
  <c r="G29" i="89"/>
  <c r="A29" i="89"/>
  <c r="D28" i="89"/>
  <c r="G27" i="89"/>
  <c r="A27" i="89"/>
  <c r="D26" i="89"/>
  <c r="G25" i="89"/>
  <c r="A25" i="89"/>
  <c r="D24" i="89"/>
  <c r="G23" i="89"/>
  <c r="A23" i="89"/>
  <c r="D22" i="89"/>
  <c r="G21" i="89"/>
  <c r="A21" i="89"/>
  <c r="D20" i="89"/>
  <c r="G19" i="89"/>
  <c r="A19" i="89"/>
  <c r="D18" i="89"/>
  <c r="G17" i="89"/>
  <c r="A17" i="89"/>
  <c r="D16" i="89"/>
  <c r="G15" i="89"/>
  <c r="A15" i="89"/>
  <c r="I54" i="89"/>
  <c r="I53" i="89"/>
  <c r="B53" i="89"/>
  <c r="C53" i="89" s="1"/>
  <c r="B52" i="89"/>
  <c r="C52" i="89" s="1"/>
  <c r="I50" i="89"/>
  <c r="I49" i="89"/>
  <c r="B49" i="89"/>
  <c r="C49" i="89" s="1"/>
  <c r="B48" i="89"/>
  <c r="C48" i="89" s="1"/>
  <c r="I46" i="89"/>
  <c r="I45" i="89"/>
  <c r="I44" i="89"/>
  <c r="B44" i="89"/>
  <c r="C44" i="89" s="1"/>
  <c r="B43" i="89"/>
  <c r="C43" i="89" s="1"/>
  <c r="I41" i="89"/>
  <c r="I40" i="89"/>
  <c r="I39" i="89"/>
  <c r="I38" i="89"/>
  <c r="I37" i="89"/>
  <c r="I36" i="89"/>
  <c r="I35" i="89"/>
  <c r="I34" i="89"/>
  <c r="I33" i="89"/>
  <c r="I32" i="89"/>
  <c r="I31" i="89"/>
  <c r="I30" i="89"/>
  <c r="B29" i="89"/>
  <c r="C29" i="89" s="1"/>
  <c r="B27" i="89"/>
  <c r="C27" i="89" s="1"/>
  <c r="B25" i="89"/>
  <c r="C25" i="89" s="1"/>
  <c r="B23" i="89"/>
  <c r="C23" i="89" s="1"/>
  <c r="B21" i="89"/>
  <c r="C21" i="89" s="1"/>
  <c r="B19" i="89"/>
  <c r="C19" i="89" s="1"/>
  <c r="B17" i="89"/>
  <c r="C17" i="89" s="1"/>
  <c r="I29" i="89"/>
  <c r="I27" i="89"/>
  <c r="I25" i="89"/>
  <c r="I23" i="89"/>
  <c r="I21" i="89"/>
  <c r="I19" i="89"/>
  <c r="I17" i="89"/>
  <c r="I15" i="89"/>
  <c r="K72" i="70"/>
  <c r="G90" i="70"/>
  <c r="L75" i="70"/>
  <c r="L74" i="70"/>
  <c r="G73" i="75"/>
  <c r="L61" i="70"/>
  <c r="F84" i="84"/>
  <c r="F80" i="84"/>
  <c r="F76" i="84"/>
  <c r="F72" i="84"/>
  <c r="F68" i="84"/>
  <c r="G56" i="89"/>
  <c r="G54" i="89"/>
  <c r="G51" i="89"/>
  <c r="G50" i="89"/>
  <c r="G47" i="89"/>
  <c r="G43" i="89"/>
  <c r="G40" i="89"/>
  <c r="G39" i="89"/>
  <c r="G36" i="89"/>
  <c r="F86" i="84"/>
  <c r="F82" i="84"/>
  <c r="F78" i="84"/>
  <c r="F74" i="84"/>
  <c r="F70" i="84"/>
  <c r="F66" i="84"/>
  <c r="C62" i="89" l="1"/>
  <c r="F62" i="89"/>
  <c r="E62" i="89"/>
  <c r="J62" i="89"/>
  <c r="E63" i="89"/>
  <c r="C63" i="89"/>
  <c r="F63" i="89"/>
  <c r="J63" i="89"/>
  <c r="C64" i="89"/>
  <c r="J64" i="89"/>
  <c r="E64" i="89"/>
  <c r="F64" i="89"/>
  <c r="E61" i="89"/>
  <c r="F61" i="89"/>
  <c r="J61" i="89"/>
  <c r="C61" i="89"/>
  <c r="E65" i="89"/>
  <c r="J65" i="89"/>
  <c r="F65" i="89"/>
  <c r="C65" i="89"/>
  <c r="L79" i="70"/>
  <c r="L36" i="70"/>
  <c r="B16" i="87"/>
  <c r="L84" i="70"/>
  <c r="L82" i="70"/>
  <c r="L16" i="70"/>
  <c r="L34" i="70"/>
  <c r="K58" i="70"/>
  <c r="H70" i="70"/>
  <c r="H90" i="70"/>
  <c r="L72" i="70"/>
  <c r="L12" i="70"/>
  <c r="L53" i="70"/>
  <c r="L26" i="70"/>
  <c r="A73" i="70"/>
  <c r="B74" i="70"/>
  <c r="B75" i="70" s="1"/>
  <c r="B76" i="70" s="1"/>
  <c r="B77" i="70" s="1"/>
  <c r="B78" i="70" s="1"/>
  <c r="B79" i="70" s="1"/>
  <c r="B80" i="70" s="1"/>
  <c r="B81" i="70" s="1"/>
  <c r="B82" i="70" s="1"/>
  <c r="B83" i="70" s="1"/>
  <c r="B84" i="70" s="1"/>
  <c r="B85" i="70" s="1"/>
  <c r="B86" i="70" s="1"/>
  <c r="B87" i="70" s="1"/>
  <c r="B88" i="70" s="1"/>
  <c r="L24" i="70"/>
  <c r="H58" i="70"/>
  <c r="L20" i="70"/>
  <c r="J90" i="70"/>
  <c r="L60" i="70"/>
  <c r="L62" i="70"/>
  <c r="L14" i="75"/>
  <c r="L14" i="70"/>
  <c r="L18" i="70"/>
  <c r="J70" i="70"/>
  <c r="J58" i="70"/>
  <c r="A74" i="70"/>
  <c r="B62" i="70"/>
  <c r="A62" i="70" s="1"/>
  <c r="L85" i="70"/>
  <c r="B14" i="70"/>
  <c r="A13" i="70"/>
  <c r="F19" i="89"/>
  <c r="F23" i="89"/>
  <c r="E27" i="89"/>
  <c r="J43" i="89"/>
  <c r="J49" i="89"/>
  <c r="F53" i="89"/>
  <c r="E59" i="89"/>
  <c r="E31" i="89"/>
  <c r="E37" i="89"/>
  <c r="E47" i="89"/>
  <c r="F51" i="89"/>
  <c r="F55" i="89"/>
  <c r="E17" i="89"/>
  <c r="E21" i="89"/>
  <c r="E25" i="89"/>
  <c r="E29" i="89"/>
  <c r="F52" i="89"/>
  <c r="F35" i="89"/>
  <c r="F41" i="89"/>
  <c r="F45" i="89"/>
  <c r="F57" i="89"/>
  <c r="A75" i="70"/>
  <c r="B63" i="70"/>
  <c r="A63" i="70" s="1"/>
  <c r="I125" i="84"/>
  <c r="K73" i="75"/>
  <c r="J30" i="89"/>
  <c r="J36" i="89"/>
  <c r="J38" i="89"/>
  <c r="J46" i="89"/>
  <c r="J26" i="89"/>
  <c r="H73" i="75"/>
  <c r="J15" i="89"/>
  <c r="J35" i="89"/>
  <c r="J41" i="89"/>
  <c r="J45" i="89"/>
  <c r="J18" i="89"/>
  <c r="J32" i="89"/>
  <c r="J34" i="89"/>
  <c r="J40" i="89"/>
  <c r="J22" i="89"/>
  <c r="K90" i="70"/>
  <c r="B21" i="87"/>
  <c r="A21" i="87" s="1"/>
  <c r="G70" i="70"/>
  <c r="B17" i="87"/>
  <c r="A9" i="87"/>
  <c r="G16" i="87"/>
  <c r="E51" i="89"/>
  <c r="G17" i="87"/>
  <c r="G22" i="87"/>
  <c r="B20" i="87"/>
  <c r="L64" i="70"/>
  <c r="E55" i="89"/>
  <c r="J14" i="89"/>
  <c r="J31" i="89"/>
  <c r="J37" i="89"/>
  <c r="F43" i="89"/>
  <c r="E53" i="89"/>
  <c r="E49" i="89"/>
  <c r="J53" i="89"/>
  <c r="F49" i="89"/>
  <c r="J51" i="89"/>
  <c r="F27" i="89"/>
  <c r="J24" i="89"/>
  <c r="E43" i="89"/>
  <c r="J55" i="89"/>
  <c r="J16" i="89"/>
  <c r="F31" i="89"/>
  <c r="E23" i="89"/>
  <c r="F37" i="89"/>
  <c r="E19" i="89"/>
  <c r="F17" i="89"/>
  <c r="E45" i="89"/>
  <c r="F25" i="89"/>
  <c r="J73" i="75"/>
  <c r="E57" i="89"/>
  <c r="K70" i="70"/>
  <c r="J44" i="89"/>
  <c r="F21" i="89"/>
  <c r="F29" i="89"/>
  <c r="E41" i="89"/>
  <c r="J57" i="89"/>
  <c r="E35" i="89"/>
  <c r="E24" i="89"/>
  <c r="F24" i="89"/>
  <c r="E15" i="89"/>
  <c r="F15" i="89"/>
  <c r="J58" i="89"/>
  <c r="E58" i="89"/>
  <c r="F58" i="89"/>
  <c r="E50" i="89"/>
  <c r="J50" i="89"/>
  <c r="F50" i="89"/>
  <c r="E42" i="89"/>
  <c r="F42" i="89"/>
  <c r="E34" i="89"/>
  <c r="F34" i="89"/>
  <c r="E22" i="89"/>
  <c r="F22" i="89"/>
  <c r="J56" i="89"/>
  <c r="E56" i="89"/>
  <c r="F56" i="89"/>
  <c r="E40" i="89"/>
  <c r="F40" i="89"/>
  <c r="E32" i="89"/>
  <c r="F32" i="89"/>
  <c r="E18" i="89"/>
  <c r="F18" i="89"/>
  <c r="J19" i="89"/>
  <c r="J23" i="89"/>
  <c r="J27" i="89"/>
  <c r="E16" i="89"/>
  <c r="F16" i="89"/>
  <c r="F47" i="89"/>
  <c r="J47" i="89"/>
  <c r="F14" i="89"/>
  <c r="E14" i="89"/>
  <c r="J54" i="89"/>
  <c r="F54" i="89"/>
  <c r="E54" i="89"/>
  <c r="E46" i="89"/>
  <c r="F46" i="89"/>
  <c r="E38" i="89"/>
  <c r="F38" i="89"/>
  <c r="E30" i="89"/>
  <c r="F30" i="89"/>
  <c r="J60" i="89"/>
  <c r="E60" i="89"/>
  <c r="F60" i="89"/>
  <c r="E36" i="89"/>
  <c r="F36" i="89"/>
  <c r="E26" i="89"/>
  <c r="F26" i="89"/>
  <c r="J17" i="89"/>
  <c r="J21" i="89"/>
  <c r="J25" i="89"/>
  <c r="J29" i="89"/>
  <c r="J28" i="89"/>
  <c r="J42" i="89"/>
  <c r="E20" i="89"/>
  <c r="F20" i="89"/>
  <c r="F33" i="89"/>
  <c r="E33" i="89"/>
  <c r="J33" i="89"/>
  <c r="J59" i="89"/>
  <c r="F59" i="89"/>
  <c r="J20" i="89"/>
  <c r="E44" i="89"/>
  <c r="F44" i="89"/>
  <c r="E48" i="89"/>
  <c r="F48" i="89"/>
  <c r="J52" i="89"/>
  <c r="E52" i="89"/>
  <c r="B18" i="87"/>
  <c r="A18" i="87" s="1"/>
  <c r="F20" i="87"/>
  <c r="D6" i="87"/>
  <c r="F27" i="87" s="1"/>
  <c r="F18" i="87"/>
  <c r="G7" i="87"/>
  <c r="G19" i="87"/>
  <c r="G21" i="87"/>
  <c r="G18" i="87"/>
  <c r="F22" i="87"/>
  <c r="H22" i="87" s="1"/>
  <c r="F19" i="87"/>
  <c r="F21" i="87"/>
  <c r="H21" i="87" s="1"/>
  <c r="F16" i="87"/>
  <c r="G8" i="87"/>
  <c r="B19" i="87"/>
  <c r="A19" i="87" s="1"/>
  <c r="G20" i="87"/>
  <c r="F17" i="87"/>
  <c r="E28" i="89"/>
  <c r="F28" i="89"/>
  <c r="F39" i="89"/>
  <c r="E39" i="89"/>
  <c r="J39" i="89"/>
  <c r="B22" i="87"/>
  <c r="J48" i="89"/>
  <c r="E67" i="89" l="1"/>
  <c r="D20" i="87"/>
  <c r="A20" i="87"/>
  <c r="D17" i="87"/>
  <c r="A17" i="87"/>
  <c r="D16" i="87"/>
  <c r="A16" i="87"/>
  <c r="A78" i="70"/>
  <c r="L15" i="75"/>
  <c r="L16" i="75" s="1"/>
  <c r="L17" i="75" s="1"/>
  <c r="L18" i="75" s="1"/>
  <c r="L19" i="75" s="1"/>
  <c r="H17" i="87"/>
  <c r="H16" i="87"/>
  <c r="L90" i="70"/>
  <c r="L70" i="70"/>
  <c r="L58" i="70"/>
  <c r="H19" i="87"/>
  <c r="B15" i="70"/>
  <c r="A14" i="70"/>
  <c r="H20" i="87"/>
  <c r="H18" i="87"/>
  <c r="B64" i="70"/>
  <c r="A64" i="70" s="1"/>
  <c r="A77" i="70"/>
  <c r="D21" i="87"/>
  <c r="L73" i="75"/>
  <c r="D22" i="87"/>
  <c r="A22" i="87"/>
  <c r="D19" i="87"/>
  <c r="D18" i="87"/>
  <c r="L20" i="75" l="1"/>
  <c r="L21" i="75" s="1"/>
  <c r="B16" i="70"/>
  <c r="A15" i="70"/>
  <c r="H23" i="87"/>
  <c r="B65" i="70"/>
  <c r="A65" i="70" s="1"/>
  <c r="A76" i="70"/>
  <c r="A25" i="87"/>
  <c r="L22" i="75" l="1"/>
  <c r="L23" i="75" s="1"/>
  <c r="L24" i="75" s="1"/>
  <c r="L25" i="75" s="1"/>
  <c r="L26" i="75" s="1"/>
  <c r="L27" i="75" s="1"/>
  <c r="L28" i="75" s="1"/>
  <c r="L29" i="75" s="1"/>
  <c r="L30" i="75" s="1"/>
  <c r="L31" i="75" s="1"/>
  <c r="L32" i="75" s="1"/>
  <c r="B17" i="70"/>
  <c r="A16" i="70"/>
  <c r="A79" i="70"/>
  <c r="B66" i="70"/>
  <c r="A66" i="70" s="1"/>
  <c r="B18" i="70" l="1"/>
  <c r="A17" i="70"/>
  <c r="B67" i="70"/>
  <c r="A80" i="70"/>
  <c r="A67" i="70" l="1"/>
  <c r="B68" i="70"/>
  <c r="A68" i="70" s="1"/>
  <c r="B19" i="70"/>
  <c r="A18" i="70"/>
  <c r="A81" i="70"/>
  <c r="B20" i="70" l="1"/>
  <c r="A19" i="70"/>
  <c r="A82" i="70" l="1"/>
  <c r="B21" i="70"/>
  <c r="A20" i="70"/>
  <c r="A83" i="70" l="1"/>
  <c r="A84" i="70"/>
  <c r="B22" i="70"/>
  <c r="A21" i="70"/>
  <c r="A85" i="70" l="1"/>
  <c r="B23" i="70"/>
  <c r="A22" i="70"/>
  <c r="A86" i="70" l="1"/>
  <c r="B24" i="70"/>
  <c r="A23" i="70"/>
  <c r="A88" i="70" l="1"/>
  <c r="A87" i="70"/>
  <c r="B25" i="70"/>
  <c r="B26" i="70" s="1"/>
  <c r="A24" i="70"/>
  <c r="A26" i="70" l="1"/>
  <c r="B27" i="70"/>
  <c r="B28" i="70" s="1"/>
  <c r="B29" i="70" s="1"/>
  <c r="B30" i="70" s="1"/>
  <c r="B31" i="70" s="1"/>
  <c r="B32" i="70" s="1"/>
  <c r="B33" i="70" s="1"/>
  <c r="B34" i="70" s="1"/>
  <c r="B35" i="70" s="1"/>
  <c r="B36" i="70" s="1"/>
  <c r="B37" i="70" s="1"/>
  <c r="B38" i="70" s="1"/>
  <c r="B39" i="70" s="1"/>
  <c r="B40" i="70" s="1"/>
  <c r="B41" i="70" s="1"/>
  <c r="A25" i="70"/>
  <c r="B42" i="70" l="1"/>
  <c r="B43" i="70" s="1"/>
  <c r="B44" i="70" s="1"/>
  <c r="B45" i="70" s="1"/>
  <c r="B46" i="70" s="1"/>
  <c r="B47" i="70" s="1"/>
  <c r="B48" i="70" s="1"/>
  <c r="B49" i="70" s="1"/>
  <c r="B50" i="70" s="1"/>
  <c r="B51" i="70" s="1"/>
  <c r="B52" i="70" s="1"/>
  <c r="B53" i="70" s="1"/>
  <c r="B55" i="70" s="1"/>
  <c r="B54" i="70" s="1"/>
  <c r="B56" i="70" s="1"/>
  <c r="A41" i="70"/>
  <c r="A27" i="70"/>
  <c r="A56" i="70" l="1"/>
  <c r="A47" i="70"/>
  <c r="A28" i="70"/>
  <c r="A29" i="70" l="1"/>
  <c r="A30" i="70" l="1"/>
  <c r="A31" i="70" l="1"/>
  <c r="A32" i="70" l="1"/>
  <c r="A33" i="70" l="1"/>
  <c r="A34" i="70" l="1"/>
  <c r="A35" i="70" l="1"/>
  <c r="A36" i="70" l="1"/>
  <c r="A37" i="70" l="1"/>
  <c r="A38" i="70" l="1"/>
  <c r="A39" i="70" l="1"/>
  <c r="A40" i="70" l="1"/>
  <c r="A42" i="70" l="1"/>
  <c r="A43" i="70" l="1"/>
  <c r="A44" i="70" l="1"/>
  <c r="A45" i="70" l="1"/>
  <c r="A46" i="70" l="1"/>
  <c r="A48" i="70" l="1"/>
  <c r="A49" i="70" l="1"/>
  <c r="A50" i="70" l="1"/>
  <c r="A51" i="70" l="1"/>
  <c r="A52" i="70" l="1"/>
  <c r="A53" i="70" l="1"/>
  <c r="A54" i="70" l="1"/>
  <c r="A55" i="70"/>
  <c r="U313" i="90" l="1"/>
  <c r="J71" i="70" l="1"/>
  <c r="K71" i="70" s="1"/>
  <c r="H71" i="70"/>
  <c r="I71" i="70" s="1"/>
  <c r="H59" i="70"/>
  <c r="I59" i="70" s="1"/>
  <c r="H91" i="70"/>
  <c r="I91" i="70" s="1"/>
  <c r="J91" i="70"/>
  <c r="K91" i="70" s="1"/>
  <c r="J59" i="70" l="1"/>
  <c r="K59" i="70" s="1"/>
</calcChain>
</file>

<file path=xl/sharedStrings.xml><?xml version="1.0" encoding="utf-8"?>
<sst xmlns="http://schemas.openxmlformats.org/spreadsheetml/2006/main" count="6039" uniqueCount="415">
  <si>
    <t>SỔ CHI TIẾT VẬT LIỆU, DỤNG CỤ (SẢN PHẨM, HÀNG HÓA)</t>
  </si>
  <si>
    <t>Chứng từ</t>
  </si>
  <si>
    <t>Diễn giải</t>
  </si>
  <si>
    <t>Tài khoản đối ứng</t>
  </si>
  <si>
    <t>Đơn giá</t>
  </si>
  <si>
    <t>Nhập</t>
  </si>
  <si>
    <t>Xuất</t>
  </si>
  <si>
    <t>Tồn</t>
  </si>
  <si>
    <t>Ghi chú</t>
  </si>
  <si>
    <t>Số hiệu</t>
  </si>
  <si>
    <t>Ngày tháng</t>
  </si>
  <si>
    <t>Số lượng</t>
  </si>
  <si>
    <t>Thành tiền</t>
  </si>
  <si>
    <t>A</t>
  </si>
  <si>
    <t>B</t>
  </si>
  <si>
    <t>C</t>
  </si>
  <si>
    <t>D</t>
  </si>
  <si>
    <t>3 =1 x 2</t>
  </si>
  <si>
    <t>5 = 1 x 4</t>
  </si>
  <si>
    <t>7 = 1 x 6</t>
  </si>
  <si>
    <t>Số dư đầu kỳ</t>
  </si>
  <si>
    <t>Cộng tháng</t>
  </si>
  <si>
    <t>x</t>
  </si>
  <si>
    <t>Người ghi sổ</t>
  </si>
  <si>
    <t>Kế toán trưởng</t>
  </si>
  <si>
    <t>Giám đốc</t>
  </si>
  <si>
    <t>(Ký, họ tên)</t>
  </si>
  <si>
    <t>(Ký, họ tê)</t>
  </si>
  <si>
    <t>(Ký, họ tên, đóng dấu)</t>
  </si>
  <si>
    <t>BẢNG TỔNG HỢP CHI TIẾT 
VẬT LIỆU, DỤNG CỤ, SẢN PHẨM,HÀNG HOÁ</t>
  </si>
  <si>
    <t>STT</t>
  </si>
  <si>
    <t>Tên, quy cách vật liệu, dụng cụ, sản phẩm hàng hóa</t>
  </si>
  <si>
    <t>Số tiền</t>
  </si>
  <si>
    <t>Xuất trong kỳ</t>
  </si>
  <si>
    <t>Tồn cuối kỳ</t>
  </si>
  <si>
    <t>Tồn đầu kỳ</t>
  </si>
  <si>
    <t>Nhập trong kỳ</t>
  </si>
  <si>
    <t>kg</t>
  </si>
  <si>
    <t>Băng keo</t>
  </si>
  <si>
    <t>Bột ngọt</t>
  </si>
  <si>
    <t>Đường</t>
  </si>
  <si>
    <t>Muối</t>
  </si>
  <si>
    <t>Cá chỉ vàng NL</t>
  </si>
  <si>
    <t>Đơn vị: Công Ty TNHH Hải Sản An Lạc</t>
  </si>
  <si>
    <t>- Sổ này có …01…..trang, đánh số từ trang 01 đến trang …01…..</t>
  </si>
  <si>
    <t>Địa chỉ: Lô A14, Đường 4A, KCN Hải Sơn, H. Đức Hoà, T. Long An</t>
  </si>
  <si>
    <t>Thùng carton 31x20x15</t>
  </si>
  <si>
    <t>Thùng carton 48x35.5x22</t>
  </si>
  <si>
    <t>Mực TP</t>
  </si>
  <si>
    <t>Bột biến tính</t>
  </si>
  <si>
    <t>Thùng carton 36.5x26x17.5</t>
  </si>
  <si>
    <t>Túi mực 18g</t>
  </si>
  <si>
    <t>Túi mực 40g</t>
  </si>
  <si>
    <t>Túi mực 90g</t>
  </si>
  <si>
    <t>Túi PE</t>
  </si>
  <si>
    <t>Cá bò NL</t>
  </si>
  <si>
    <t>Thùng carton 46.5x34.5x26.5</t>
  </si>
  <si>
    <t>Thùng carton 46x35x10</t>
  </si>
  <si>
    <t>Thùng thiếc</t>
  </si>
  <si>
    <t>Hũ ly nhỏ nắp trắng trong</t>
  </si>
  <si>
    <t>Thùng carton 48x35.5x20.5</t>
  </si>
  <si>
    <t>Thùng carton 50x30x16</t>
  </si>
  <si>
    <t>Thùng carton 50x35x25</t>
  </si>
  <si>
    <t>Thùng carton 54.5x37.5x38</t>
  </si>
  <si>
    <t>SL</t>
  </si>
  <si>
    <t>Tiền</t>
  </si>
  <si>
    <t>Gas</t>
  </si>
  <si>
    <t>Tổng cộng VL</t>
  </si>
  <si>
    <t>Cá cơm NL</t>
  </si>
  <si>
    <t>Ghẹ NL</t>
  </si>
  <si>
    <t>Tổng cộng NL</t>
  </si>
  <si>
    <t>Tổng cộng TP</t>
  </si>
  <si>
    <t>Xuất Nhập Tồn Năm 2014</t>
  </si>
  <si>
    <t>Tài khoản: 152</t>
  </si>
  <si>
    <t>Năm: 2014</t>
  </si>
  <si>
    <t>Đơn vị: CÔNG TY TNHH HẢI SẢN AN LẠC</t>
  </si>
  <si>
    <t>THẺ KHO (SỔ  KHO)</t>
  </si>
  <si>
    <t>Tờ số: 01</t>
  </si>
  <si>
    <t xml:space="preserve"> - Mã số:………..</t>
  </si>
  <si>
    <t>Số TT</t>
  </si>
  <si>
    <t>Ngày</t>
  </si>
  <si>
    <t>E</t>
  </si>
  <si>
    <t>F</t>
  </si>
  <si>
    <t>G</t>
  </si>
  <si>
    <t>Cộng cuối kỳ</t>
  </si>
  <si>
    <t xml:space="preserve"> - Sổ này có  01 Trang, đánh số từ 01 đến số trang 01.</t>
  </si>
  <si>
    <t>Thủ kho</t>
  </si>
  <si>
    <t xml:space="preserve"> - Tên nhãn hiệu, quy cách, vật tư:</t>
  </si>
  <si>
    <t>cuộn</t>
  </si>
  <si>
    <t>cái</t>
  </si>
  <si>
    <t>túi</t>
  </si>
  <si>
    <t>Đơn vị tính</t>
  </si>
  <si>
    <t xml:space="preserve"> - Đơn vị tính:</t>
  </si>
  <si>
    <t xml:space="preserve">Tên, quy cách nhãn hiệu, vật liệu, công cụ, dụng cụ (sản phẩm, hàng hóa): </t>
  </si>
  <si>
    <t>Đơn vị tính: đồng</t>
  </si>
  <si>
    <t>Ngày nhập xuất</t>
  </si>
  <si>
    <t>Cá mai tẩm TP</t>
  </si>
  <si>
    <t>154</t>
  </si>
  <si>
    <t>Thùng carton 50x30x20</t>
  </si>
  <si>
    <t>Thùng carton 54.5x37.5x22</t>
  </si>
  <si>
    <t>Thùng carton 54.5x37.5x26</t>
  </si>
  <si>
    <t>Thùng carton 54.5x37.5x32.5</t>
  </si>
  <si>
    <t>Thùng carton 30.5x20x15</t>
  </si>
  <si>
    <t>Thùng carton 40x30x14</t>
  </si>
  <si>
    <t>Thùng carton 40x36x21</t>
  </si>
  <si>
    <t>Túi cá chỉ 40g</t>
  </si>
  <si>
    <t xml:space="preserve">Túi cá chỉ 90g </t>
  </si>
  <si>
    <t>Túi nylon 86x75</t>
  </si>
  <si>
    <t xml:space="preserve"> Đá gel </t>
  </si>
  <si>
    <t xml:space="preserve"> Xút ăn da </t>
  </si>
  <si>
    <t xml:space="preserve"> Sorbitol </t>
  </si>
  <si>
    <t>TT</t>
  </si>
  <si>
    <t>Lố</t>
  </si>
  <si>
    <t>Ghẹ khô 8kg/thùng TP</t>
  </si>
  <si>
    <t>Khô cá ngân TP</t>
  </si>
  <si>
    <t>Khô cá chỉ vàng TP</t>
  </si>
  <si>
    <t>Cá đù TP</t>
  </si>
  <si>
    <t>632</t>
  </si>
  <si>
    <t>Cá chỉ vàng (10kg/bó) (1kg)</t>
  </si>
  <si>
    <t>Cá cơm (10kg/bó) (1kg)</t>
  </si>
  <si>
    <t>Cá cơm (9kg/bó) (25g)</t>
  </si>
  <si>
    <t>Cá chỉ vàng (10.8kg/bó) (90g)</t>
  </si>
  <si>
    <t>Cá chỉ vàng (12kg/bó) (40g)</t>
  </si>
  <si>
    <t>Hũ ly trung</t>
  </si>
  <si>
    <t>331</t>
  </si>
  <si>
    <t xml:space="preserve">Túi cá cơm 25g </t>
  </si>
  <si>
    <t>Khô cá cơm TP</t>
  </si>
  <si>
    <t>Cá cơm khô NL</t>
  </si>
  <si>
    <t>Nhãn Decal</t>
  </si>
  <si>
    <t>Thùng carton 43x37x16</t>
  </si>
  <si>
    <t>Thùng carton 30x20x15</t>
  </si>
  <si>
    <t>Năm: 2015</t>
  </si>
  <si>
    <t>Ngày  31  tháng   12  năm   2015</t>
  </si>
  <si>
    <t xml:space="preserve">(Ban hành theo Thông tư số 200/2014/TT-BTC </t>
  </si>
  <si>
    <t>Địa chỉ: Lô A14, Đường 4A, KCN Hải Sơn, Đức Hòa, Long An</t>
  </si>
  <si>
    <t>Tên, nhãn hiệu, quy cách, phẩm chất vật tư, dụng cụ, sản phẩm, hàng hoá</t>
  </si>
  <si>
    <t>Mã số</t>
  </si>
  <si>
    <t>Theo chứng từ</t>
  </si>
  <si>
    <t>Cộng:</t>
  </si>
  <si>
    <t xml:space="preserve">       Người lập phiếu                Người giao hàng                  Thủ kho</t>
  </si>
  <si>
    <t xml:space="preserve">          (Ký, họ tên)                         (Ký, họ tên)                    (Ký, họ tên)</t>
  </si>
  <si>
    <t>Ngày 22/12/2014 của Bộ Tài chính)</t>
  </si>
  <si>
    <t>Đơn vị</t>
  </si>
  <si>
    <t>Nợ</t>
  </si>
  <si>
    <t>Có</t>
  </si>
  <si>
    <t>1522</t>
  </si>
  <si>
    <t>Cty TNHH MTV Muối Tân Thành</t>
  </si>
  <si>
    <t>Cty TNHH TM DV Bao Bì Thành Phú</t>
  </si>
  <si>
    <t>Cty TNHH SX-TM Nghị Hòa</t>
  </si>
  <si>
    <t>Cty TNHH TM DV Bao Bì Giấy Tân Minh Thư</t>
  </si>
  <si>
    <t>Cty TNHH Du Lịch và TM Thành Thành Phát</t>
  </si>
  <si>
    <t>Cty TNHH Tấn Dũng</t>
  </si>
  <si>
    <t>Cty TNHH Nhựa Duy Tân</t>
  </si>
  <si>
    <t>Cty TNHH Tân Hải Việt</t>
  </si>
  <si>
    <t>Tháng</t>
  </si>
  <si>
    <t>Mẫu số S10-DN</t>
  </si>
  <si>
    <t>(Ban hành theo Thông tư số 200/2014/TT-BTC Ngày 22/12/2014 của Bộ Tài chính)</t>
  </si>
  <si>
    <t>Mẫu số: S12 – DN</t>
  </si>
  <si>
    <t>DS-NL</t>
  </si>
  <si>
    <t>155</t>
  </si>
  <si>
    <t>Bộ phận SX</t>
  </si>
  <si>
    <t>CuuLong Trading Corpotation</t>
  </si>
  <si>
    <t>Jintatsu Foodstuff Co.,Ltd</t>
  </si>
  <si>
    <t>Limitted Liability Company</t>
  </si>
  <si>
    <t>Markov K.A., Individual Entrepreneur</t>
  </si>
  <si>
    <t>Cá bò khô tẩm TP</t>
  </si>
  <si>
    <t>Tokai Denpun</t>
  </si>
  <si>
    <t>Võ Văn Thắng</t>
  </si>
  <si>
    <t>Nguyễn Thị Hồng Hoa</t>
  </si>
  <si>
    <t>Nguyễn Thành Phong</t>
  </si>
  <si>
    <t>Nguyễn Văn Tha</t>
  </si>
  <si>
    <t>Lý Thị Thảo</t>
  </si>
  <si>
    <t>Nguyễn Thị Tuyết Đang</t>
  </si>
  <si>
    <t>Nguyễn Văn Phong</t>
  </si>
  <si>
    <t>Lê Thị Diệu</t>
  </si>
  <si>
    <t>Lê Thị Thiện Em</t>
  </si>
  <si>
    <t>Trần Văn An</t>
  </si>
  <si>
    <t>Nguyễn Thị Hội</t>
  </si>
  <si>
    <t>Nguyễn Thanh Bình</t>
  </si>
  <si>
    <t>Nguyễn Văn Hạnh</t>
  </si>
  <si>
    <t>Trần Thị Thu Hiếu</t>
  </si>
  <si>
    <t>Nguyễn Văn Nhân</t>
  </si>
  <si>
    <t>Võ Thị Huyền</t>
  </si>
  <si>
    <t>Nguyễn Thị Bé Hai</t>
  </si>
  <si>
    <t>Lâm Thị Loan</t>
  </si>
  <si>
    <t>Vũ Thị Lan</t>
  </si>
  <si>
    <t>Trương Quốc Tuấn</t>
  </si>
  <si>
    <t>Nguyễn Văn Hải</t>
  </si>
  <si>
    <t>Huỳnh Thị Kiều</t>
  </si>
  <si>
    <t>Nguyễn Thị Kim Vân</t>
  </si>
  <si>
    <t>Lê Thị Kim Thanh</t>
  </si>
  <si>
    <t>Lê Thị Kim Liên</t>
  </si>
  <si>
    <t>Nguyễn Thị Mộng Tuyền</t>
  </si>
  <si>
    <t>Đỗ Thị Hoàng Mai</t>
  </si>
  <si>
    <t>Phạm Thị Chính</t>
  </si>
  <si>
    <t>Trần Thị Lang</t>
  </si>
  <si>
    <t>Lê Văn Thành</t>
  </si>
  <si>
    <t>Nguyễn Văn Lắm</t>
  </si>
  <si>
    <t>Bến Tre</t>
  </si>
  <si>
    <t>Bình Thuận</t>
  </si>
  <si>
    <t>Kiên Giang</t>
  </si>
  <si>
    <t>Tiền Giang</t>
  </si>
  <si>
    <t>Phạm Thị Ngọc</t>
  </si>
  <si>
    <t>Vũng Tàu</t>
  </si>
  <si>
    <t>Võ Thị Bảy</t>
  </si>
  <si>
    <t>Võ Văn Bá</t>
  </si>
  <si>
    <t>Nguyễn Thanh Vân</t>
  </si>
  <si>
    <t>Hồ Thị Mỹ</t>
  </si>
  <si>
    <t>Nguyễn Thanh Vinh</t>
  </si>
  <si>
    <t>Đỗ Văn Tâm</t>
  </si>
  <si>
    <t>Nguyễn Đức Tiến</t>
  </si>
  <si>
    <t>Trương Văn Minh</t>
  </si>
  <si>
    <t>Số</t>
  </si>
  <si>
    <t>Phiếu</t>
  </si>
  <si>
    <t>N01</t>
  </si>
  <si>
    <t>N02</t>
  </si>
  <si>
    <t>N03</t>
  </si>
  <si>
    <t>N04</t>
  </si>
  <si>
    <t>N05</t>
  </si>
  <si>
    <t>N06</t>
  </si>
  <si>
    <t>X01</t>
  </si>
  <si>
    <t>X02</t>
  </si>
  <si>
    <t>X03</t>
  </si>
  <si>
    <t>X04</t>
  </si>
  <si>
    <t>VL</t>
  </si>
  <si>
    <t>TP</t>
  </si>
  <si>
    <t>NL</t>
  </si>
  <si>
    <t>Mẫu số S11-DN</t>
  </si>
  <si>
    <t xml:space="preserve"> Ngày 22/12/2014 của Bộ Tài chính)</t>
  </si>
  <si>
    <t>Xuất SX</t>
  </si>
  <si>
    <t>X05</t>
  </si>
  <si>
    <t>1521</t>
  </si>
  <si>
    <t>N07</t>
  </si>
  <si>
    <t>Cá ngân NL</t>
  </si>
  <si>
    <t>N08</t>
  </si>
  <si>
    <t>N09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</si>
  <si>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</si>
  <si>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</si>
  <si>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</si>
  <si>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</si>
  <si>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</si>
  <si>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</si>
  <si>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</si>
  <si>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</si>
  <si>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</si>
  <si>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</si>
  <si>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</si>
  <si>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</si>
  <si>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</si>
  <si>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</si>
  <si>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</si>
  <si>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</si>
  <si>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</si>
  <si>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</si>
  <si>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</si>
  <si>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</si>
  <si>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</si>
  <si>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</si>
  <si>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</si>
  <si>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</si>
  <si>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</si>
  <si>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</si>
  <si>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</si>
  <si>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</si>
  <si>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</si>
  <si>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</si>
  <si>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</si>
  <si>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</si>
  <si>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X06</t>
  </si>
  <si>
    <t>X07</t>
  </si>
  <si>
    <t>X08</t>
  </si>
  <si>
    <t>X09</t>
  </si>
  <si>
    <t>X10</t>
  </si>
  <si>
    <t>X11</t>
  </si>
  <si>
    <t>X12</t>
  </si>
  <si>
    <t>DNTN SX TM XNK Khang Thịnh Phước</t>
  </si>
  <si>
    <t>Thùng carton 47x37x11</t>
  </si>
  <si>
    <t>DNTN Chín Tuy</t>
  </si>
  <si>
    <t>Khánh Hòa</t>
  </si>
  <si>
    <t xml:space="preserve">Tên kho: </t>
  </si>
  <si>
    <t>Tài khoản: ....1521......</t>
  </si>
  <si>
    <t>Ký xác nhận</t>
  </si>
  <si>
    <t>CMND</t>
  </si>
  <si>
    <t>Địa Chỉ</t>
  </si>
  <si>
    <t>Ba Tri - Bến Tre</t>
  </si>
  <si>
    <t>Đức Linh - Bình Thuận</t>
  </si>
  <si>
    <t>Hàm Tân - Bình Thuận</t>
  </si>
  <si>
    <t>Phan Thiết - Bình Thuận</t>
  </si>
  <si>
    <t>020714486</t>
  </si>
  <si>
    <t>Long Hương - Bình Thuận</t>
  </si>
  <si>
    <t>Thanh Hải - Bình Thuận</t>
  </si>
  <si>
    <t>Rạch Giá - Kiên Giang</t>
  </si>
  <si>
    <t>Gò Quao - Kiên Giang</t>
  </si>
  <si>
    <t>Hòn Đất, Kiên Giang</t>
  </si>
  <si>
    <t>Kiên lương - Kiên Giang</t>
  </si>
  <si>
    <t>Mỹ Tho - Tiền Giang</t>
  </si>
  <si>
    <t>Châu Thành - Tiền Giang</t>
  </si>
  <si>
    <t>Gò Công Đông - Tiền Giang</t>
  </si>
  <si>
    <t>Gò Công Tây - Tiền Giang</t>
  </si>
  <si>
    <t xml:space="preserve">Gò Công Tây - Tiền Giang </t>
  </si>
  <si>
    <t>Nha Trang - Khánh Hoà</t>
  </si>
  <si>
    <t>Tân Phước - Long Điền</t>
  </si>
  <si>
    <t>BẢNG KÊ THU MUA HÀNG HÓA, DỊCH VỤ 
MUA VÀO KHÔNG CÓ HÓA ĐƠN</t>
  </si>
  <si>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</si>
  <si>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</si>
  <si>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</si>
  <si>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</si>
  <si>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</si>
  <si>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</si>
  <si>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</si>
  <si>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</si>
  <si>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Tên người bán</t>
  </si>
  <si>
    <t>Số hiệu CT</t>
  </si>
  <si>
    <t>Địa chỉ</t>
  </si>
  <si>
    <t>Số CMND</t>
  </si>
  <si>
    <t>Tên mặt hàng</t>
  </si>
  <si>
    <t>Tổng giá
 thanh toán</t>
  </si>
  <si>
    <t>1</t>
  </si>
  <si>
    <t>6</t>
  </si>
  <si>
    <t>7</t>
  </si>
  <si>
    <t>Hai</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</si>
  <si>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</si>
  <si>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</si>
  <si>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</si>
  <si>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</si>
  <si>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</si>
  <si>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</si>
  <si>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</si>
  <si>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</si>
  <si>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r>
      <t xml:space="preserve">Mẫu số: 01/TNDN
</t>
    </r>
    <r>
      <rPr>
        <i/>
        <sz val="8"/>
        <rFont val="Times New Roman"/>
        <family val="1"/>
      </rPr>
      <t>(Ban hành kèm theo Thông tư
số 130/2008/TT-BTC ngày 26/12/2008 của Bộ tài chính)</t>
    </r>
  </si>
  <si>
    <t>Cá nục NL</t>
  </si>
  <si>
    <t>Cá nục TP</t>
  </si>
  <si>
    <t>Biovital Company</t>
  </si>
  <si>
    <t>CÔNG TY TNHH HẢI SẢN AN LẠC</t>
  </si>
  <si>
    <t>BẢNG TÍNH GIÁ THÀNH SP T01/2015</t>
  </si>
  <si>
    <t>MẶT HÀNG</t>
  </si>
  <si>
    <t>ĐM</t>
  </si>
  <si>
    <t>SL NL</t>
  </si>
  <si>
    <t>ĐG</t>
  </si>
  <si>
    <t>CP NVL C</t>
  </si>
  <si>
    <t>CP NVL P</t>
  </si>
  <si>
    <t>CP CÔNG NHÂN</t>
  </si>
  <si>
    <t>CP NHIÊN LIỆU</t>
  </si>
  <si>
    <t>CP SXC</t>
  </si>
  <si>
    <t>CP BAO BÌ</t>
  </si>
  <si>
    <t>CP GC</t>
  </si>
  <si>
    <t>TỔNG CPSXC</t>
  </si>
  <si>
    <t>SL TP</t>
  </si>
  <si>
    <t>ĐƠN GIÁ</t>
  </si>
  <si>
    <t>CỘNG</t>
  </si>
  <si>
    <t>BẢNG TÍNH GIÁ THÀNH SP T02/2015</t>
  </si>
  <si>
    <t>BẢNG TÍNH GIÁ THÀNH SP T03/2015</t>
  </si>
  <si>
    <t>BẢNG TÍNH GIÁ THÀNH SP T04/2015</t>
  </si>
  <si>
    <t>BẢNG TÍNH GIÁ THÀNH SP T05/2015</t>
  </si>
  <si>
    <t>BẢNG TÍNH GIÁ THÀNH SP T06/2015</t>
  </si>
  <si>
    <t>BẢNG TÍNH GIÁ THÀNH SP T07/2015</t>
  </si>
  <si>
    <t>BẢNG TÍNH GIÁ THÀNH SP T08/2015</t>
  </si>
  <si>
    <t>BẢNG TÍNH GIÁ THÀNH SP T09/2015</t>
  </si>
  <si>
    <t>BẢNG TÍNH GIÁ THÀNH SP T10/2015</t>
  </si>
  <si>
    <t>BẢNG TÍNH GIÁ THÀNH SP T11/2015</t>
  </si>
  <si>
    <t>BẢNG TÍNH GIÁ THÀNH SP T12/2015</t>
  </si>
  <si>
    <t>Mẫu số S37-DN</t>
  </si>
  <si>
    <t>Địa chỉ: Lô A14, Đường 4A, KCN. Hải Sơn, H. Đức Hòa, T.Long An</t>
  </si>
  <si>
    <t>(Ban hành theo Thông tư số 200/2014/TT-BTC 
 Ngày 22/12/2014 của Bộ Tài chính)</t>
  </si>
  <si>
    <t>THẺ TÍNH GIÁ THÀNH SẢN PHẨM, DỊCH VỤ</t>
  </si>
  <si>
    <t xml:space="preserve">Tên sản phẩm, dịch vụ: </t>
  </si>
  <si>
    <t>Chỉ tiêu</t>
  </si>
  <si>
    <t>Tổng số tiền</t>
  </si>
  <si>
    <t>Chia ra theo khoản mục</t>
  </si>
  <si>
    <t>Nguyên liệu</t>
  </si>
  <si>
    <t>Vật liệu</t>
  </si>
  <si>
    <t>Nhân công</t>
  </si>
  <si>
    <t xml:space="preserve">Nhiên liệu </t>
  </si>
  <si>
    <t>Sản xuất chung</t>
  </si>
  <si>
    <t>Bao bì</t>
  </si>
  <si>
    <t>1. SXKD dở dang đầu kỳ</t>
  </si>
  <si>
    <t>2. Chi phí SXKD phát sinh trong kỳ</t>
  </si>
  <si>
    <t>3. Giá thành sản phẩm, dịch vụ trong kỳ</t>
  </si>
  <si>
    <t>4. Chi phí SXKD dở dang cuối kỳ</t>
  </si>
  <si>
    <t>Nguời ghi sổ</t>
  </si>
  <si>
    <t>Thùng carton 54x41 (tấm lót)</t>
  </si>
  <si>
    <t>Khô cá cơm B TP</t>
  </si>
  <si>
    <t>Cá bò khô tẩm B TP</t>
  </si>
  <si>
    <t>Cty TNHH Tân Hùng Thái</t>
  </si>
  <si>
    <t>Cty TNHH Hóa Chất Thành Phương</t>
  </si>
  <si>
    <t>More - 2007</t>
  </si>
  <si>
    <t>O.Cheon Industry Co.,LTD</t>
  </si>
  <si>
    <t>Cá mai NL</t>
  </si>
  <si>
    <t>TỈNH</t>
  </si>
  <si>
    <t>Cty TNHH Hóa Chất Hùng Xương</t>
  </si>
  <si>
    <t>Thùng carton 49x37x11</t>
  </si>
  <si>
    <t>Thùng carton 50x34x15.5</t>
  </si>
  <si>
    <t>Thùng carton 45x31x10.5</t>
  </si>
  <si>
    <t>Flak Vostok LLC</t>
  </si>
  <si>
    <t>Zhoushan Foreign Trade And Economy Corp.,LTD</t>
  </si>
  <si>
    <t>Khô cá mai TP</t>
  </si>
  <si>
    <t>Tạm nhập</t>
  </si>
  <si>
    <t>Thùng carton 56x36x32</t>
  </si>
  <si>
    <t>Công Ty TNHH In Và SX Bao Bì Đức Mỹ</t>
  </si>
  <si>
    <t>tấm</t>
  </si>
  <si>
    <t xml:space="preserve">         Võ Uyên Phương                                                           Trần Minh Nghĩa</t>
  </si>
  <si>
    <t>N42</t>
  </si>
  <si>
    <t>N43</t>
  </si>
  <si>
    <t>N44</t>
  </si>
  <si>
    <t>N45</t>
  </si>
  <si>
    <t>N46</t>
  </si>
  <si>
    <t>N47</t>
  </si>
  <si>
    <t>N48</t>
  </si>
  <si>
    <t>N49</t>
  </si>
  <si>
    <t>N50</t>
  </si>
  <si>
    <t>N51</t>
  </si>
  <si>
    <t>N52</t>
  </si>
  <si>
    <t>NNL</t>
  </si>
  <si>
    <t>Võ Uyên Phương</t>
  </si>
  <si>
    <t>Nguyễn Thiện Duy</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</si>
</sst>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0_);_(* \(#,##0\);_(* &quot;-&quot;_);_(@_)"/>
    <numFmt numFmtId="43" formatCode="_(* #,##0.00_);_(* \(#,##0.00\);_(* &quot;-&quot;??_);_(@_)"/>
    <numFmt numFmtId="164" formatCode="_(* #,##0_);_(* \(#,##0\);_(* &quot;-&quot;??_);_(@_)"/>
    <numFmt numFmtId="165" formatCode="_(* #,##0.0_);_(* \(#,##0.0\);_(* &quot;-&quot;??_);_(@_)"/>
    <numFmt numFmtId="166" formatCode="&quot;\&quot;#,##0;[Red]&quot;\&quot;\-#,##0"/>
    <numFmt numFmtId="167" formatCode="&quot;\&quot;#,##0.00;[Red]&quot;\&quot;\-#,##0.00"/>
    <numFmt numFmtId="168" formatCode="\$#,##0\ ;\(\$#,##0\)"/>
    <numFmt numFmtId="169" formatCode="&quot;\&quot;#,##0;[Red]&quot;\&quot;&quot;\&quot;\-#,##0"/>
    <numFmt numFmtId="170" formatCode="&quot;\&quot;#,##0.00;[Red]&quot;\&quot;&quot;\&quot;&quot;\&quot;&quot;\&quot;&quot;\&quot;&quot;\&quot;\-#,##0.00"/>
    <numFmt numFmtId="171" formatCode="#,###"/>
    <numFmt numFmtId="172" formatCode="[$-1010000]d/m/yyyy;@"/>
    <numFmt numFmtId="173" formatCode="_(* #,##0.000_);_(* \(#,##0.000\);_(* &quot;-&quot;??_);_(@_)"/>
  </numFmts>
  <fonts count="72">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9"/>
      <name val="VNI-Times"/>
    </font>
    <font>
      <b/>
      <sz val="11"/>
      <color indexed="9"/>
      <name val="Calibri"/>
      <family val="2"/>
    </font>
    <font>
      <sz val="10"/>
      <name val="VNI-Times"/>
    </font>
    <font>
      <sz val="10"/>
      <name val="Arial"/>
      <family val="2"/>
    </font>
    <font>
      <i/>
      <sz val="11"/>
      <color indexed="23"/>
      <name val="Calibri"/>
      <family val="2"/>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9"/>
      <name val="VNI-Times"/>
    </font>
    <font>
      <sz val="11"/>
      <color indexed="52"/>
      <name val="Calibri"/>
      <family val="2"/>
    </font>
    <font>
      <sz val="10"/>
      <name val=".VnAvant"/>
      <family val="2"/>
    </font>
    <font>
      <sz val="11"/>
      <color indexed="60"/>
      <name val="Calibri"/>
      <family val="2"/>
    </font>
    <font>
      <b/>
      <sz val="11"/>
      <color indexed="63"/>
      <name val="Calibri"/>
      <family val="2"/>
    </font>
    <font>
      <b/>
      <sz val="12"/>
      <name val="VNI-Cooper"/>
    </font>
    <font>
      <b/>
      <sz val="18"/>
      <color indexed="56"/>
      <name val="Cambria"/>
      <family val="2"/>
    </font>
    <font>
      <b/>
      <sz val="11"/>
      <color indexed="8"/>
      <name val="Calibri"/>
      <family val="2"/>
    </font>
    <font>
      <sz val="11"/>
      <color indexed="10"/>
      <name val="Calibri"/>
      <family val="2"/>
    </font>
    <font>
      <sz val="14"/>
      <name val="뼻뮝"/>
      <family val="3"/>
      <charset val="129"/>
    </font>
    <font>
      <sz val="12"/>
      <name val="뼻뮝"/>
      <family val="1"/>
      <charset val="129"/>
    </font>
    <font>
      <sz val="12"/>
      <name val="바탕체"/>
      <family val="1"/>
      <charset val="129"/>
    </font>
    <font>
      <sz val="10"/>
      <name val="굴림체"/>
      <family val="3"/>
      <charset val="129"/>
    </font>
    <font>
      <sz val="8"/>
      <name val="Arial"/>
      <family val="2"/>
    </font>
    <font>
      <b/>
      <sz val="11"/>
      <color indexed="63"/>
      <name val="Times New Roman"/>
      <family val="1"/>
    </font>
    <font>
      <sz val="11"/>
      <name val="Times New Roman"/>
      <family val="1"/>
    </font>
    <font>
      <b/>
      <sz val="11"/>
      <name val="Times New Roman"/>
      <family val="1"/>
    </font>
    <font>
      <sz val="11"/>
      <name val="Arial"/>
      <family val="2"/>
    </font>
    <font>
      <sz val="10"/>
      <name val="Times New Roman"/>
      <family val="1"/>
    </font>
    <font>
      <sz val="22"/>
      <name val="Times New Roman"/>
      <family val="1"/>
    </font>
    <font>
      <b/>
      <sz val="14"/>
      <name val="Times New Roman"/>
      <family val="1"/>
    </font>
    <font>
      <i/>
      <sz val="11"/>
      <name val="Times New Roman"/>
      <family val="1"/>
    </font>
    <font>
      <sz val="11"/>
      <color indexed="9"/>
      <name val="Times New Roman"/>
      <family val="1"/>
    </font>
    <font>
      <b/>
      <sz val="10"/>
      <name val="Times New Roman"/>
      <family val="1"/>
    </font>
    <font>
      <sz val="10"/>
      <color indexed="12"/>
      <name val="Times New Roman"/>
      <family val="1"/>
    </font>
    <font>
      <b/>
      <sz val="9"/>
      <name val="Times New Roman"/>
      <family val="1"/>
    </font>
    <font>
      <sz val="9"/>
      <name val="Times New Roman"/>
      <family val="1"/>
    </font>
    <font>
      <sz val="8"/>
      <name val="Times New Roman"/>
      <family val="1"/>
    </font>
    <font>
      <b/>
      <sz val="10"/>
      <color indexed="63"/>
      <name val="Times New Roman"/>
      <family val="1"/>
    </font>
    <font>
      <sz val="11"/>
      <color indexed="18"/>
      <name val="Times New Roman"/>
      <family val="1"/>
    </font>
    <font>
      <sz val="11"/>
      <color indexed="10"/>
      <name val="Times New Roman"/>
      <family val="1"/>
    </font>
    <font>
      <b/>
      <sz val="13"/>
      <name val="Times New Roman"/>
      <family val="1"/>
    </font>
    <font>
      <sz val="12"/>
      <name val="VNI-Times"/>
    </font>
    <font>
      <sz val="8"/>
      <name val="VNI-Times"/>
    </font>
    <font>
      <i/>
      <sz val="8"/>
      <name val="Times New Roman"/>
      <family val="1"/>
    </font>
    <font>
      <sz val="12"/>
      <name val="Times New Roman"/>
      <family val="1"/>
    </font>
    <font>
      <sz val="13"/>
      <name val="Times New Roman"/>
      <family val="1"/>
    </font>
    <font>
      <sz val="16"/>
      <name val="Times New Roman"/>
      <family val="1"/>
    </font>
    <font>
      <b/>
      <sz val="12"/>
      <name val="Times New Roman"/>
      <family val="1"/>
    </font>
    <font>
      <i/>
      <sz val="12"/>
      <name val="Times New Roman"/>
      <family val="1"/>
    </font>
    <font>
      <sz val="12"/>
      <color indexed="9"/>
      <name val="Times New Roman"/>
      <family val="1"/>
    </font>
    <font>
      <sz val="11"/>
      <color rgb="FF002060"/>
      <name val="Times New Roman"/>
      <family val="1"/>
    </font>
    <font>
      <sz val="11"/>
      <color rgb="FF0000CC"/>
      <name val="Times New Roman"/>
      <family val="1"/>
    </font>
    <font>
      <sz val="10"/>
      <color rgb="FF0000CC"/>
      <name val="Times New Roman"/>
      <family val="1"/>
    </font>
    <font>
      <sz val="10"/>
      <name val="VNI-Helve"/>
    </font>
    <font>
      <sz val="10"/>
      <color indexed="14"/>
      <name val="Times New Roman"/>
      <family val="1"/>
    </font>
    <font>
      <sz val="10"/>
      <color indexed="10"/>
      <name val="Times New Roman"/>
      <family val="1"/>
    </font>
    <font>
      <sz val="11"/>
      <color theme="0"/>
      <name val="Times New Roman"/>
      <family val="1"/>
    </font>
    <font>
      <sz val="10"/>
      <color rgb="FFC00000"/>
      <name val="Times New Roman"/>
      <family val="1"/>
    </font>
    <font>
      <b/>
      <sz val="10"/>
      <color theme="0"/>
      <name val="Times New Roman"/>
      <family val="1"/>
    </font>
    <font>
      <sz val="10"/>
      <color theme="0"/>
      <name val="Times New Roman"/>
      <family val="1"/>
    </font>
    <font>
      <sz val="22"/>
      <color theme="0"/>
      <name val="Times New Roman"/>
      <family val="1"/>
    </font>
    <font>
      <i/>
      <sz val="9.5"/>
      <name val="Times New Roman"/>
      <family val="1"/>
    </font>
    <font>
      <sz val="9.5"/>
      <name val="Times New Roman"/>
      <family val="1"/>
    </font>
    <font>
      <b/>
      <sz val="16"/>
      <name val="Times New Roman"/>
      <family val="1"/>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2"/>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7"/>
        <bgColor indexed="64"/>
      </patternFill>
    </fill>
    <fill>
      <patternFill patternType="solid">
        <fgColor indexed="52"/>
        <bgColor indexed="64"/>
      </patternFill>
    </fill>
    <fill>
      <patternFill patternType="solid">
        <fgColor indexed="43"/>
        <bgColor indexed="64"/>
      </patternFill>
    </fill>
    <fill>
      <patternFill patternType="solid">
        <fgColor indexed="13"/>
        <bgColor indexed="64"/>
      </patternFill>
    </fill>
    <fill>
      <patternFill patternType="solid">
        <fgColor indexed="51"/>
        <bgColor indexed="64"/>
      </patternFill>
    </fill>
    <fill>
      <patternFill patternType="solid">
        <fgColor rgb="FF00B0F0"/>
        <bgColor indexed="64"/>
      </patternFill>
    </fill>
    <fill>
      <patternFill patternType="solid">
        <fgColor theme="0"/>
        <bgColor indexed="64"/>
      </patternFill>
    </fill>
  </fills>
  <borders count="48">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double">
        <color indexed="52"/>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right style="thin">
        <color indexed="64"/>
      </right>
      <top/>
      <bottom style="hair">
        <color indexed="64"/>
      </bottom>
      <diagonal/>
    </border>
    <border>
      <left/>
      <right/>
      <top/>
      <bottom style="hair">
        <color indexed="64"/>
      </bottom>
      <diagonal/>
    </border>
    <border>
      <left/>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style="thin">
        <color indexed="8"/>
      </bottom>
      <diagonal/>
    </border>
    <border>
      <left/>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hair">
        <color indexed="64"/>
      </top>
      <bottom/>
      <diagonal/>
    </border>
  </borders>
  <cellStyleXfs count="79">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3" fontId="6" fillId="21" borderId="2"/>
    <xf numFmtId="0" fontId="7" fillId="22" borderId="3" applyNumberFormat="0" applyAlignment="0" applyProtection="0"/>
    <xf numFmtId="43" fontId="1" fillId="0" borderId="0" applyFont="0" applyFill="0" applyBorder="0" applyAlignment="0" applyProtection="0"/>
    <xf numFmtId="3" fontId="9" fillId="0" borderId="0" applyFont="0" applyFill="0" applyBorder="0" applyAlignment="0" applyProtection="0"/>
    <xf numFmtId="168" fontId="9" fillId="0" borderId="0" applyFont="0" applyFill="0" applyBorder="0" applyAlignment="0" applyProtection="0"/>
    <xf numFmtId="0" fontId="9" fillId="0" borderId="0" applyFont="0" applyFill="0" applyBorder="0" applyAlignment="0" applyProtection="0"/>
    <xf numFmtId="0" fontId="10" fillId="0" borderId="0" applyNumberFormat="0" applyFill="0" applyBorder="0" applyAlignment="0" applyProtection="0"/>
    <xf numFmtId="0" fontId="6" fillId="21" borderId="2">
      <alignment horizontal="centerContinuous" vertical="center" wrapText="1"/>
    </xf>
    <xf numFmtId="3" fontId="6" fillId="21" borderId="2">
      <alignment horizontal="center" vertical="center" wrapText="1"/>
    </xf>
    <xf numFmtId="2" fontId="9" fillId="0" borderId="0" applyFont="0" applyFill="0" applyBorder="0" applyAlignment="0" applyProtection="0"/>
    <xf numFmtId="0" fontId="11" fillId="4" borderId="0" applyNumberFormat="0" applyBorder="0" applyAlignment="0" applyProtection="0"/>
    <xf numFmtId="0" fontId="12" fillId="0" borderId="4" applyNumberFormat="0" applyAlignment="0" applyProtection="0">
      <alignment horizontal="left" vertical="center"/>
    </xf>
    <xf numFmtId="0" fontId="12" fillId="0" borderId="5">
      <alignment horizontal="left" vertical="center"/>
    </xf>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7" borderId="1" applyNumberFormat="0" applyAlignment="0" applyProtection="0"/>
    <xf numFmtId="3" fontId="6" fillId="0" borderId="9"/>
    <xf numFmtId="3" fontId="17" fillId="0" borderId="10"/>
    <xf numFmtId="3" fontId="6" fillId="0" borderId="2">
      <alignment horizontal="center" vertical="center" wrapText="1"/>
    </xf>
    <xf numFmtId="3" fontId="6" fillId="0" borderId="2">
      <alignment horizontal="centerContinuous" vertical="center"/>
    </xf>
    <xf numFmtId="0" fontId="18" fillId="0" borderId="11" applyNumberFormat="0" applyFill="0" applyAlignment="0" applyProtection="0"/>
    <xf numFmtId="171" fontId="19" fillId="0" borderId="12"/>
    <xf numFmtId="0" fontId="20" fillId="23" borderId="0" applyNumberFormat="0" applyBorder="0" applyAlignment="0" applyProtection="0"/>
    <xf numFmtId="0" fontId="1" fillId="0" borderId="0"/>
    <xf numFmtId="0" fontId="1" fillId="0" borderId="0"/>
    <xf numFmtId="0" fontId="49" fillId="0" borderId="0"/>
    <xf numFmtId="0" fontId="1" fillId="0" borderId="0"/>
    <xf numFmtId="0" fontId="1" fillId="0" borderId="0"/>
    <xf numFmtId="0" fontId="1" fillId="0" borderId="0"/>
    <xf numFmtId="0" fontId="1" fillId="0" borderId="0"/>
    <xf numFmtId="0" fontId="8" fillId="0" borderId="0"/>
    <xf numFmtId="0" fontId="1" fillId="24" borderId="13" applyNumberFormat="0" applyFont="0" applyAlignment="0" applyProtection="0"/>
    <xf numFmtId="0" fontId="21" fillId="20" borderId="14" applyNumberFormat="0" applyAlignment="0" applyProtection="0"/>
    <xf numFmtId="0" fontId="22" fillId="0" borderId="0">
      <alignment horizontal="centerContinuous"/>
    </xf>
    <xf numFmtId="0" fontId="23" fillId="0" borderId="0" applyNumberFormat="0" applyFill="0" applyBorder="0" applyAlignment="0" applyProtection="0"/>
    <xf numFmtId="0" fontId="24" fillId="0" borderId="15" applyNumberFormat="0" applyFill="0" applyAlignment="0" applyProtection="0"/>
    <xf numFmtId="0" fontId="25" fillId="0" borderId="0" applyNumberFormat="0" applyFill="0" applyBorder="0" applyAlignment="0" applyProtection="0"/>
    <xf numFmtId="40" fontId="26" fillId="0" borderId="0" applyFont="0" applyFill="0" applyBorder="0" applyAlignment="0" applyProtection="0"/>
    <xf numFmtId="38"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0" fontId="9" fillId="0" borderId="0" applyFont="0" applyFill="0" applyBorder="0" applyAlignment="0" applyProtection="0"/>
    <xf numFmtId="0" fontId="27" fillId="0" borderId="0"/>
    <xf numFmtId="169" fontId="9" fillId="0" borderId="0" applyFont="0" applyFill="0" applyBorder="0" applyAlignment="0" applyProtection="0"/>
    <xf numFmtId="170" fontId="9" fillId="0" borderId="0" applyFont="0" applyFill="0" applyBorder="0" applyAlignment="0" applyProtection="0"/>
    <xf numFmtId="167" fontId="28" fillId="0" borderId="0" applyFont="0" applyFill="0" applyBorder="0" applyAlignment="0" applyProtection="0"/>
    <xf numFmtId="166" fontId="28" fillId="0" borderId="0" applyFont="0" applyFill="0" applyBorder="0" applyAlignment="0" applyProtection="0"/>
    <xf numFmtId="0" fontId="29" fillId="0" borderId="0"/>
    <xf numFmtId="0" fontId="61" fillId="0" borderId="0"/>
    <xf numFmtId="0" fontId="1" fillId="0" borderId="0"/>
  </cellStyleXfs>
  <cellXfs count="573">
    <xf numFmtId="0" fontId="0" fillId="0" borderId="0" xfId="0"/>
    <xf numFmtId="0" fontId="31" fillId="25" borderId="0" xfId="53" applyFont="1" applyFill="1" applyAlignment="1">
      <alignment vertical="top"/>
    </xf>
    <xf numFmtId="0" fontId="31" fillId="25" borderId="0" xfId="53" applyFont="1" applyFill="1" applyAlignment="1">
      <alignment horizontal="center" vertical="top" wrapText="1"/>
    </xf>
    <xf numFmtId="0" fontId="32" fillId="0" borderId="0" xfId="53" applyFont="1"/>
    <xf numFmtId="0" fontId="32" fillId="0" borderId="0" xfId="59" applyFont="1" applyAlignment="1">
      <alignment vertical="center"/>
    </xf>
    <xf numFmtId="164" fontId="33" fillId="0" borderId="0" xfId="57" applyNumberFormat="1" applyFont="1" applyAlignment="1">
      <alignment horizontal="center" vertical="center" wrapText="1"/>
    </xf>
    <xf numFmtId="164" fontId="32" fillId="0" borderId="0" xfId="57" applyNumberFormat="1" applyFont="1" applyAlignment="1">
      <alignment horizontal="center" vertical="center"/>
    </xf>
    <xf numFmtId="164" fontId="32" fillId="0" borderId="0" xfId="57" applyNumberFormat="1" applyFont="1" applyAlignment="1">
      <alignment horizontal="center" vertical="center" wrapText="1"/>
    </xf>
    <xf numFmtId="164" fontId="33" fillId="0" borderId="0" xfId="57" applyNumberFormat="1" applyFont="1" applyAlignment="1">
      <alignment vertical="center" wrapText="1"/>
    </xf>
    <xf numFmtId="0" fontId="32" fillId="0" borderId="0" xfId="56" applyFont="1"/>
    <xf numFmtId="0" fontId="32" fillId="0" borderId="0" xfId="56" applyFont="1" applyAlignment="1">
      <alignment horizontal="center"/>
    </xf>
    <xf numFmtId="0" fontId="32" fillId="0" borderId="16" xfId="56" applyFont="1" applyBorder="1" applyAlignment="1"/>
    <xf numFmtId="0" fontId="32" fillId="0" borderId="2" xfId="56" applyFont="1" applyBorder="1" applyAlignment="1">
      <alignment horizontal="center"/>
    </xf>
    <xf numFmtId="0" fontId="32" fillId="0" borderId="17" xfId="56" applyFont="1" applyBorder="1" applyAlignment="1">
      <alignment horizontal="center"/>
    </xf>
    <xf numFmtId="0" fontId="32" fillId="0" borderId="12" xfId="56" applyFont="1" applyBorder="1"/>
    <xf numFmtId="164" fontId="32" fillId="0" borderId="18" xfId="29" applyNumberFormat="1" applyFont="1" applyBorder="1"/>
    <xf numFmtId="164" fontId="32" fillId="0" borderId="12" xfId="29" applyNumberFormat="1" applyFont="1" applyBorder="1"/>
    <xf numFmtId="0" fontId="32" fillId="0" borderId="18" xfId="56" applyFont="1" applyBorder="1"/>
    <xf numFmtId="14" fontId="32" fillId="0" borderId="19" xfId="55" applyNumberFormat="1" applyFont="1" applyBorder="1" applyAlignment="1">
      <alignment horizontal="center" vertical="center"/>
    </xf>
    <xf numFmtId="0" fontId="32" fillId="0" borderId="19" xfId="55" applyFont="1" applyBorder="1" applyAlignment="1">
      <alignment vertical="center"/>
    </xf>
    <xf numFmtId="0" fontId="32" fillId="0" borderId="2" xfId="56" applyFont="1" applyBorder="1"/>
    <xf numFmtId="164" fontId="32" fillId="0" borderId="2" xfId="29" applyNumberFormat="1" applyFont="1" applyBorder="1"/>
    <xf numFmtId="0" fontId="32" fillId="0" borderId="0" xfId="56" quotePrefix="1" applyFont="1"/>
    <xf numFmtId="0" fontId="32" fillId="0" borderId="0" xfId="56" applyFont="1" applyAlignment="1"/>
    <xf numFmtId="0" fontId="32" fillId="0" borderId="18" xfId="56" applyFont="1" applyBorder="1" applyAlignment="1">
      <alignment horizontal="center"/>
    </xf>
    <xf numFmtId="164" fontId="32" fillId="0" borderId="21" xfId="29" applyNumberFormat="1" applyFont="1" applyBorder="1"/>
    <xf numFmtId="164" fontId="32" fillId="0" borderId="0" xfId="29" applyNumberFormat="1" applyFont="1"/>
    <xf numFmtId="164" fontId="32" fillId="0" borderId="0" xfId="29" applyNumberFormat="1" applyFont="1" applyAlignment="1"/>
    <xf numFmtId="0" fontId="35" fillId="0" borderId="0" xfId="56" applyFont="1"/>
    <xf numFmtId="164" fontId="32" fillId="0" borderId="0" xfId="29" applyNumberFormat="1" applyFont="1" applyAlignment="1">
      <alignment horizontal="center"/>
    </xf>
    <xf numFmtId="0" fontId="31" fillId="25" borderId="0" xfId="53" applyFont="1" applyFill="1" applyAlignment="1">
      <alignment horizontal="center" vertical="center" wrapText="1"/>
    </xf>
    <xf numFmtId="0" fontId="32" fillId="0" borderId="0" xfId="53" applyFont="1" applyAlignment="1">
      <alignment vertical="center"/>
    </xf>
    <xf numFmtId="0" fontId="31" fillId="25" borderId="0" xfId="53" applyFont="1" applyFill="1" applyAlignment="1">
      <alignment horizontal="left" vertical="center" wrapText="1"/>
    </xf>
    <xf numFmtId="0" fontId="36" fillId="0" borderId="0" xfId="0" applyFont="1" applyAlignment="1">
      <alignment vertical="center"/>
    </xf>
    <xf numFmtId="0" fontId="35" fillId="21" borderId="2" xfId="0" applyFont="1" applyFill="1" applyBorder="1" applyAlignment="1">
      <alignment horizontal="center" vertical="center" wrapText="1"/>
    </xf>
    <xf numFmtId="0" fontId="35" fillId="0" borderId="0" xfId="0" applyFont="1" applyAlignment="1">
      <alignment vertical="center"/>
    </xf>
    <xf numFmtId="164" fontId="35" fillId="21" borderId="2" xfId="29" applyNumberFormat="1" applyFont="1" applyFill="1" applyBorder="1" applyAlignment="1">
      <alignment vertical="center"/>
    </xf>
    <xf numFmtId="0" fontId="35" fillId="0" borderId="18" xfId="0" applyFont="1" applyBorder="1" applyAlignment="1">
      <alignment vertical="center"/>
    </xf>
    <xf numFmtId="164" fontId="35" fillId="0" borderId="18" xfId="29" applyNumberFormat="1" applyFont="1" applyBorder="1" applyAlignment="1">
      <alignment vertical="center"/>
    </xf>
    <xf numFmtId="0" fontId="35" fillId="21" borderId="2" xfId="0" applyFont="1" applyFill="1" applyBorder="1" applyAlignment="1">
      <alignment vertical="center"/>
    </xf>
    <xf numFmtId="164" fontId="35" fillId="0" borderId="0" xfId="29" applyNumberFormat="1" applyFont="1" applyAlignment="1">
      <alignment vertical="center"/>
    </xf>
    <xf numFmtId="0" fontId="35" fillId="0" borderId="19" xfId="0" applyFont="1" applyBorder="1" applyAlignment="1">
      <alignment vertical="center"/>
    </xf>
    <xf numFmtId="3" fontId="35" fillId="0" borderId="0" xfId="0" applyNumberFormat="1" applyFont="1" applyAlignment="1">
      <alignment vertical="center"/>
    </xf>
    <xf numFmtId="3" fontId="35" fillId="21" borderId="2" xfId="29" applyNumberFormat="1" applyFont="1" applyFill="1" applyBorder="1" applyAlignment="1">
      <alignment horizontal="center" vertical="center"/>
    </xf>
    <xf numFmtId="0" fontId="35" fillId="0" borderId="0" xfId="0" applyFont="1" applyAlignment="1">
      <alignment horizontal="center" vertical="center"/>
    </xf>
    <xf numFmtId="0" fontId="35" fillId="21" borderId="2" xfId="0" applyFont="1" applyFill="1" applyBorder="1" applyAlignment="1">
      <alignment horizontal="center" vertical="center"/>
    </xf>
    <xf numFmtId="164" fontId="35" fillId="0" borderId="19" xfId="29" applyNumberFormat="1" applyFont="1" applyBorder="1" applyAlignment="1">
      <alignment vertical="center"/>
    </xf>
    <xf numFmtId="0" fontId="35" fillId="0" borderId="20" xfId="0" applyFont="1" applyBorder="1" applyAlignment="1">
      <alignment vertical="center"/>
    </xf>
    <xf numFmtId="3" fontId="35" fillId="0" borderId="20" xfId="0" applyNumberFormat="1" applyFont="1" applyBorder="1" applyAlignment="1">
      <alignment vertical="center"/>
    </xf>
    <xf numFmtId="164" fontId="35" fillId="0" borderId="20" xfId="29" applyNumberFormat="1" applyFont="1" applyBorder="1" applyAlignment="1">
      <alignment vertical="center"/>
    </xf>
    <xf numFmtId="0" fontId="35" fillId="0" borderId="19" xfId="0" applyFont="1" applyBorder="1" applyAlignment="1">
      <alignment horizontal="center" vertical="center"/>
    </xf>
    <xf numFmtId="0" fontId="35" fillId="0" borderId="18" xfId="0" applyFont="1" applyBorder="1" applyAlignment="1">
      <alignment horizontal="center" vertical="center"/>
    </xf>
    <xf numFmtId="3" fontId="35" fillId="0" borderId="18" xfId="0" applyNumberFormat="1" applyFont="1" applyBorder="1" applyAlignment="1">
      <alignment horizontal="center" vertical="center"/>
    </xf>
    <xf numFmtId="3" fontId="35" fillId="0" borderId="20" xfId="0" applyNumberFormat="1" applyFont="1" applyBorder="1" applyAlignment="1">
      <alignment horizontal="center" vertical="center"/>
    </xf>
    <xf numFmtId="0" fontId="32" fillId="0" borderId="2" xfId="56" applyFont="1" applyBorder="1" applyAlignment="1"/>
    <xf numFmtId="0" fontId="39" fillId="0" borderId="16" xfId="56" applyFont="1" applyBorder="1" applyAlignment="1"/>
    <xf numFmtId="0" fontId="32" fillId="0" borderId="12" xfId="56" applyFont="1" applyBorder="1" applyAlignment="1">
      <alignment horizontal="center"/>
    </xf>
    <xf numFmtId="0" fontId="32" fillId="0" borderId="18" xfId="56" quotePrefix="1" applyFont="1" applyBorder="1" applyAlignment="1">
      <alignment horizontal="center"/>
    </xf>
    <xf numFmtId="0" fontId="32" fillId="0" borderId="0" xfId="53" applyFont="1" applyAlignment="1">
      <alignment horizontal="center"/>
    </xf>
    <xf numFmtId="0" fontId="31" fillId="25" borderId="0" xfId="53" applyFont="1" applyFill="1" applyAlignment="1">
      <alignment horizontal="center" vertical="top"/>
    </xf>
    <xf numFmtId="0" fontId="32" fillId="0" borderId="16" xfId="56" applyFont="1" applyBorder="1" applyAlignment="1">
      <alignment horizontal="center"/>
    </xf>
    <xf numFmtId="0" fontId="0" fillId="0" borderId="0" xfId="0" applyAlignment="1">
      <alignment horizontal="center"/>
    </xf>
    <xf numFmtId="0" fontId="32" fillId="0" borderId="18" xfId="55" applyFont="1" applyBorder="1" applyAlignment="1">
      <alignment vertical="center"/>
    </xf>
    <xf numFmtId="0" fontId="35" fillId="21" borderId="22" xfId="0" applyFont="1" applyFill="1" applyBorder="1" applyAlignment="1">
      <alignment vertical="center"/>
    </xf>
    <xf numFmtId="164" fontId="35" fillId="21" borderId="22" xfId="29" applyNumberFormat="1" applyFont="1" applyFill="1" applyBorder="1" applyAlignment="1">
      <alignment vertical="center"/>
    </xf>
    <xf numFmtId="0" fontId="35" fillId="21" borderId="0" xfId="0" applyFont="1" applyFill="1" applyBorder="1" applyAlignment="1">
      <alignment vertical="center"/>
    </xf>
    <xf numFmtId="0" fontId="35" fillId="21" borderId="0" xfId="0" applyFont="1" applyFill="1" applyBorder="1" applyAlignment="1">
      <alignment horizontal="center" vertical="center"/>
    </xf>
    <xf numFmtId="164" fontId="35" fillId="21" borderId="0" xfId="29" applyNumberFormat="1" applyFont="1" applyFill="1" applyBorder="1" applyAlignment="1">
      <alignment vertical="center"/>
    </xf>
    <xf numFmtId="164" fontId="32" fillId="0" borderId="19" xfId="29" applyNumberFormat="1" applyFont="1" applyBorder="1"/>
    <xf numFmtId="164" fontId="35" fillId="0" borderId="19" xfId="29" applyNumberFormat="1" applyFont="1" applyFill="1" applyBorder="1"/>
    <xf numFmtId="14" fontId="32" fillId="0" borderId="18" xfId="55" applyNumberFormat="1" applyFont="1" applyBorder="1" applyAlignment="1">
      <alignment horizontal="center" vertical="center"/>
    </xf>
    <xf numFmtId="0" fontId="35" fillId="0" borderId="0" xfId="0" applyFont="1" applyBorder="1" applyAlignment="1">
      <alignment vertical="center"/>
    </xf>
    <xf numFmtId="0" fontId="35" fillId="0" borderId="18" xfId="56" applyFont="1" applyBorder="1" applyAlignment="1">
      <alignment horizontal="center"/>
    </xf>
    <xf numFmtId="0" fontId="35" fillId="0" borderId="19" xfId="56" applyFont="1" applyBorder="1" applyAlignment="1">
      <alignment horizontal="center"/>
    </xf>
    <xf numFmtId="0" fontId="35" fillId="21" borderId="12" xfId="0" applyFont="1" applyFill="1" applyBorder="1" applyAlignment="1">
      <alignment vertical="center"/>
    </xf>
    <xf numFmtId="0" fontId="35" fillId="21" borderId="12" xfId="0" applyFont="1" applyFill="1" applyBorder="1" applyAlignment="1">
      <alignment horizontal="center" vertical="center"/>
    </xf>
    <xf numFmtId="164" fontId="35" fillId="21" borderId="12" xfId="29" applyNumberFormat="1" applyFont="1" applyFill="1" applyBorder="1" applyAlignment="1">
      <alignment vertical="center"/>
    </xf>
    <xf numFmtId="0" fontId="35" fillId="0" borderId="21" xfId="0" applyFont="1" applyBorder="1" applyAlignment="1">
      <alignment vertical="center"/>
    </xf>
    <xf numFmtId="164" fontId="35" fillId="0" borderId="21" xfId="29" applyNumberFormat="1" applyFont="1" applyBorder="1" applyAlignment="1">
      <alignment vertical="center"/>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41" fillId="0" borderId="18" xfId="57" quotePrefix="1" applyNumberFormat="1" applyFont="1" applyFill="1" applyBorder="1" applyAlignment="1">
      <alignment horizontal="center" vertical="center"/>
    </xf>
    <xf numFmtId="0" fontId="35" fillId="26" borderId="2" xfId="0" applyFont="1" applyFill="1" applyBorder="1" applyAlignment="1">
      <alignment horizontal="center" vertical="center"/>
    </xf>
    <xf numFmtId="0" fontId="35" fillId="0" borderId="12" xfId="56" applyFont="1" applyBorder="1" applyAlignment="1">
      <alignment vertical="center"/>
    </xf>
    <xf numFmtId="0" fontId="35" fillId="0" borderId="12" xfId="0" applyFont="1" applyBorder="1" applyAlignment="1">
      <alignment vertical="center"/>
    </xf>
    <xf numFmtId="0" fontId="35" fillId="0" borderId="18" xfId="56" applyFont="1" applyBorder="1" applyAlignment="1">
      <alignment vertical="center"/>
    </xf>
    <xf numFmtId="0" fontId="33" fillId="25" borderId="0" xfId="0" applyFont="1" applyFill="1" applyAlignment="1" applyProtection="1">
      <alignment vertical="center"/>
      <protection hidden="1"/>
    </xf>
    <xf numFmtId="0" fontId="33" fillId="25" borderId="0" xfId="0" applyFont="1" applyFill="1" applyAlignment="1" applyProtection="1">
      <alignment vertical="center" wrapText="1"/>
      <protection hidden="1"/>
    </xf>
    <xf numFmtId="0" fontId="33" fillId="25" borderId="0" xfId="0" applyNumberFormat="1" applyFont="1" applyFill="1" applyAlignment="1" applyProtection="1">
      <alignment vertical="center" wrapText="1"/>
      <protection hidden="1"/>
    </xf>
    <xf numFmtId="41" fontId="33" fillId="25" borderId="0" xfId="0" applyNumberFormat="1" applyFont="1" applyFill="1" applyAlignment="1" applyProtection="1">
      <alignment horizontal="center" vertical="top"/>
      <protection hidden="1"/>
    </xf>
    <xf numFmtId="41" fontId="33" fillId="25" borderId="0" xfId="29" applyNumberFormat="1" applyFont="1" applyFill="1" applyAlignment="1" applyProtection="1">
      <alignment horizontal="center" vertical="top"/>
      <protection hidden="1"/>
    </xf>
    <xf numFmtId="0" fontId="34" fillId="0" borderId="0" xfId="0" applyFont="1" applyProtection="1">
      <protection hidden="1"/>
    </xf>
    <xf numFmtId="0" fontId="32" fillId="0" borderId="0" xfId="0" applyFont="1" applyProtection="1">
      <protection hidden="1"/>
    </xf>
    <xf numFmtId="0" fontId="33" fillId="25" borderId="0" xfId="0" applyFont="1" applyFill="1" applyAlignment="1" applyProtection="1">
      <alignment vertical="top"/>
      <protection hidden="1"/>
    </xf>
    <xf numFmtId="0" fontId="33" fillId="25" borderId="0" xfId="0" applyFont="1" applyFill="1" applyAlignment="1" applyProtection="1">
      <alignment vertical="top" wrapText="1"/>
      <protection hidden="1"/>
    </xf>
    <xf numFmtId="0" fontId="33" fillId="25" borderId="0" xfId="0" applyNumberFormat="1" applyFont="1" applyFill="1" applyAlignment="1" applyProtection="1">
      <alignment vertical="top" wrapText="1"/>
      <protection hidden="1"/>
    </xf>
    <xf numFmtId="14" fontId="32" fillId="0" borderId="0" xfId="0" applyNumberFormat="1" applyFont="1" applyProtection="1">
      <protection hidden="1"/>
    </xf>
    <xf numFmtId="41" fontId="32" fillId="25" borderId="0" xfId="0" applyNumberFormat="1" applyFont="1" applyFill="1" applyAlignment="1" applyProtection="1">
      <alignment horizontal="center" vertical="top"/>
      <protection hidden="1"/>
    </xf>
    <xf numFmtId="41" fontId="32" fillId="25" borderId="0" xfId="29" applyNumberFormat="1" applyFont="1" applyFill="1" applyAlignment="1" applyProtection="1">
      <alignment horizontal="center" vertical="top"/>
      <protection hidden="1"/>
    </xf>
    <xf numFmtId="0" fontId="37" fillId="0" borderId="0" xfId="0" applyFont="1" applyAlignment="1" applyProtection="1">
      <alignment wrapText="1"/>
      <protection hidden="1"/>
    </xf>
    <xf numFmtId="0" fontId="37" fillId="0" borderId="0" xfId="0" applyNumberFormat="1" applyFont="1" applyAlignment="1" applyProtection="1">
      <alignment horizontal="center" wrapText="1"/>
      <protection hidden="1"/>
    </xf>
    <xf numFmtId="0" fontId="32" fillId="0" borderId="0" xfId="0" applyFont="1" applyAlignment="1" applyProtection="1">
      <protection hidden="1"/>
    </xf>
    <xf numFmtId="0" fontId="32" fillId="0" borderId="0" xfId="0" applyNumberFormat="1" applyFont="1" applyAlignment="1" applyProtection="1">
      <alignment horizontal="center"/>
      <protection hidden="1"/>
    </xf>
    <xf numFmtId="0" fontId="32" fillId="0" borderId="0" xfId="0" quotePrefix="1" applyFont="1" applyAlignment="1" applyProtection="1">
      <protection hidden="1"/>
    </xf>
    <xf numFmtId="0" fontId="32" fillId="0" borderId="0" xfId="0" quotePrefix="1" applyFont="1" applyAlignment="1" applyProtection="1">
      <alignment horizontal="center"/>
      <protection hidden="1"/>
    </xf>
    <xf numFmtId="0" fontId="32" fillId="0" borderId="0" xfId="0" applyNumberFormat="1" applyFont="1" applyProtection="1">
      <protection hidden="1"/>
    </xf>
    <xf numFmtId="164" fontId="32" fillId="0" borderId="0" xfId="29" applyNumberFormat="1" applyFont="1" applyProtection="1">
      <protection hidden="1"/>
    </xf>
    <xf numFmtId="0" fontId="39" fillId="0" borderId="0" xfId="0" applyFont="1" applyProtection="1">
      <protection hidden="1"/>
    </xf>
    <xf numFmtId="0" fontId="32" fillId="25" borderId="23" xfId="0" applyFont="1" applyFill="1" applyBorder="1" applyAlignment="1" applyProtection="1">
      <alignment horizontal="center" vertical="center" wrapText="1"/>
      <protection hidden="1"/>
    </xf>
    <xf numFmtId="164" fontId="32" fillId="25" borderId="23" xfId="29" applyNumberFormat="1" applyFont="1" applyFill="1" applyBorder="1" applyAlignment="1" applyProtection="1">
      <alignment horizontal="center" vertical="center" wrapText="1"/>
      <protection hidden="1"/>
    </xf>
    <xf numFmtId="0" fontId="32" fillId="25" borderId="24" xfId="0" applyFont="1" applyFill="1" applyBorder="1" applyAlignment="1" applyProtection="1">
      <alignment horizontal="center" wrapText="1"/>
      <protection hidden="1"/>
    </xf>
    <xf numFmtId="14" fontId="32" fillId="25" borderId="25" xfId="0" applyNumberFormat="1" applyFont="1" applyFill="1" applyBorder="1" applyAlignment="1" applyProtection="1">
      <alignment horizontal="center" wrapText="1"/>
      <protection hidden="1"/>
    </xf>
    <xf numFmtId="0" fontId="32" fillId="25" borderId="25" xfId="0" applyFont="1" applyFill="1" applyBorder="1" applyAlignment="1" applyProtection="1">
      <alignment horizontal="center" wrapText="1"/>
      <protection hidden="1"/>
    </xf>
    <xf numFmtId="0" fontId="32" fillId="25" borderId="25" xfId="0" applyNumberFormat="1" applyFont="1" applyFill="1" applyBorder="1" applyAlignment="1" applyProtection="1">
      <alignment horizontal="center" wrapText="1"/>
      <protection hidden="1"/>
    </xf>
    <xf numFmtId="164" fontId="32" fillId="25" borderId="25" xfId="29" applyNumberFormat="1" applyFont="1" applyFill="1" applyBorder="1" applyAlignment="1" applyProtection="1">
      <alignment horizontal="center" wrapText="1"/>
      <protection hidden="1"/>
    </xf>
    <xf numFmtId="0" fontId="33" fillId="25" borderId="2" xfId="0" applyFont="1" applyFill="1" applyBorder="1" applyAlignment="1" applyProtection="1">
      <alignment horizontal="right" wrapText="1"/>
      <protection hidden="1"/>
    </xf>
    <xf numFmtId="14" fontId="33" fillId="25" borderId="2" xfId="0" applyNumberFormat="1" applyFont="1" applyFill="1" applyBorder="1" applyAlignment="1" applyProtection="1">
      <alignment horizontal="right" wrapText="1"/>
      <protection hidden="1"/>
    </xf>
    <xf numFmtId="0" fontId="33" fillId="25" borderId="2" xfId="0" applyFont="1" applyFill="1" applyBorder="1" applyAlignment="1" applyProtection="1">
      <alignment horizontal="center" wrapText="1"/>
      <protection hidden="1"/>
    </xf>
    <xf numFmtId="0"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horizontal="right" wrapText="1"/>
      <protection hidden="1"/>
    </xf>
    <xf numFmtId="164" fontId="33" fillId="25" borderId="2" xfId="29" applyNumberFormat="1" applyFont="1" applyFill="1" applyBorder="1" applyAlignment="1" applyProtection="1">
      <alignment horizontal="center" wrapText="1"/>
      <protection hidden="1"/>
    </xf>
    <xf numFmtId="0" fontId="32" fillId="0" borderId="19" xfId="56" applyFont="1" applyBorder="1" applyProtection="1">
      <protection hidden="1"/>
    </xf>
    <xf numFmtId="14" fontId="32" fillId="25" borderId="19" xfId="0" applyNumberFormat="1" applyFont="1" applyFill="1" applyBorder="1" applyAlignment="1" applyProtection="1">
      <alignment horizontal="center" wrapText="1"/>
      <protection hidden="1"/>
    </xf>
    <xf numFmtId="0" fontId="32" fillId="25" borderId="19" xfId="0" applyNumberFormat="1" applyFont="1" applyFill="1" applyBorder="1" applyAlignment="1" applyProtection="1">
      <alignment horizontal="left" wrapText="1"/>
      <protection hidden="1"/>
    </xf>
    <xf numFmtId="164" fontId="32" fillId="25" borderId="19" xfId="29" applyNumberFormat="1" applyFont="1" applyFill="1" applyBorder="1" applyAlignment="1" applyProtection="1">
      <alignment horizontal="center" wrapText="1"/>
      <protection hidden="1"/>
    </xf>
    <xf numFmtId="164" fontId="32" fillId="25" borderId="18" xfId="29" applyNumberFormat="1" applyFont="1" applyFill="1" applyBorder="1" applyAlignment="1" applyProtection="1">
      <alignment wrapText="1"/>
      <protection hidden="1"/>
    </xf>
    <xf numFmtId="0" fontId="32" fillId="25" borderId="19" xfId="0" applyFont="1" applyFill="1" applyBorder="1" applyAlignment="1" applyProtection="1">
      <alignment wrapText="1"/>
      <protection hidden="1"/>
    </xf>
    <xf numFmtId="0" fontId="32" fillId="0" borderId="18" xfId="56" applyFont="1" applyBorder="1" applyProtection="1">
      <protection hidden="1"/>
    </xf>
    <xf numFmtId="0" fontId="32" fillId="25" borderId="18" xfId="0" applyFont="1" applyFill="1" applyBorder="1" applyAlignment="1" applyProtection="1">
      <alignment wrapText="1"/>
      <protection hidden="1"/>
    </xf>
    <xf numFmtId="14" fontId="33" fillId="25" borderId="2" xfId="0" applyNumberFormat="1" applyFont="1" applyFill="1" applyBorder="1" applyAlignment="1" applyProtection="1">
      <alignment wrapText="1"/>
      <protection hidden="1"/>
    </xf>
    <xf numFmtId="14"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wrapText="1"/>
      <protection hidden="1"/>
    </xf>
    <xf numFmtId="0" fontId="32" fillId="0" borderId="0" xfId="0" applyFont="1" applyAlignment="1" applyProtection="1">
      <alignment horizontal="center"/>
      <protection hidden="1"/>
    </xf>
    <xf numFmtId="0" fontId="32" fillId="0" borderId="0" xfId="0" applyFont="1" applyBorder="1" applyAlignment="1" applyProtection="1">
      <alignment vertical="center"/>
      <protection hidden="1"/>
    </xf>
    <xf numFmtId="0" fontId="32" fillId="0" borderId="0" xfId="0" applyFont="1" applyBorder="1" applyAlignment="1" applyProtection="1">
      <alignment horizontal="center" vertical="center"/>
      <protection hidden="1"/>
    </xf>
    <xf numFmtId="14" fontId="33" fillId="25" borderId="0" xfId="0" applyNumberFormat="1" applyFont="1" applyFill="1" applyAlignment="1" applyProtection="1">
      <alignment vertical="top" wrapText="1"/>
      <protection hidden="1"/>
    </xf>
    <xf numFmtId="0" fontId="38" fillId="25" borderId="0" xfId="0" applyFont="1" applyFill="1" applyAlignment="1" applyProtection="1">
      <alignment horizontal="center" vertical="top" wrapText="1"/>
      <protection hidden="1"/>
    </xf>
    <xf numFmtId="0" fontId="32" fillId="0" borderId="0" xfId="56" applyFont="1" applyAlignment="1" applyProtection="1">
      <alignment horizontal="center"/>
      <protection hidden="1"/>
    </xf>
    <xf numFmtId="14" fontId="32" fillId="25" borderId="0" xfId="0" applyNumberFormat="1" applyFont="1" applyFill="1" applyAlignment="1" applyProtection="1">
      <alignment horizontal="center" vertical="top"/>
      <protection hidden="1"/>
    </xf>
    <xf numFmtId="14" fontId="32" fillId="0" borderId="0" xfId="0" applyNumberFormat="1" applyFont="1" applyAlignment="1" applyProtection="1">
      <alignment horizontal="center"/>
      <protection hidden="1"/>
    </xf>
    <xf numFmtId="0" fontId="32" fillId="25" borderId="0" xfId="0" applyNumberFormat="1" applyFont="1" applyFill="1" applyAlignment="1" applyProtection="1">
      <alignment horizontal="center" vertical="top" wrapText="1"/>
      <protection hidden="1"/>
    </xf>
    <xf numFmtId="0" fontId="34" fillId="0" borderId="0" xfId="0" applyFont="1" applyAlignment="1" applyProtection="1">
      <alignment horizontal="center"/>
      <protection hidden="1"/>
    </xf>
    <xf numFmtId="0" fontId="34" fillId="0" borderId="0" xfId="0" applyNumberFormat="1" applyFont="1" applyProtection="1">
      <protection hidden="1"/>
    </xf>
    <xf numFmtId="14" fontId="34" fillId="0" borderId="0" xfId="0" applyNumberFormat="1" applyFont="1" applyProtection="1">
      <protection hidden="1"/>
    </xf>
    <xf numFmtId="164" fontId="34" fillId="0" borderId="0" xfId="29" applyNumberFormat="1" applyFont="1" applyProtection="1">
      <protection hidden="1"/>
    </xf>
    <xf numFmtId="0" fontId="32" fillId="0" borderId="0" xfId="56" applyFont="1" applyAlignment="1" applyProtection="1">
      <protection hidden="1"/>
    </xf>
    <xf numFmtId="164" fontId="32" fillId="0" borderId="18" xfId="29" applyNumberFormat="1" applyFont="1" applyBorder="1" applyProtection="1">
      <protection hidden="1"/>
    </xf>
    <xf numFmtId="164" fontId="32" fillId="0" borderId="12" xfId="29" applyNumberFormat="1" applyFont="1" applyBorder="1" applyProtection="1">
      <protection hidden="1"/>
    </xf>
    <xf numFmtId="0" fontId="32" fillId="0" borderId="18" xfId="0" applyFont="1" applyFill="1" applyBorder="1" applyAlignment="1" applyProtection="1">
      <alignment horizontal="center"/>
      <protection hidden="1"/>
    </xf>
    <xf numFmtId="14" fontId="32" fillId="0" borderId="18" xfId="0" applyNumberFormat="1" applyFont="1" applyFill="1" applyBorder="1" applyAlignment="1" applyProtection="1">
      <alignment horizontal="center"/>
      <protection hidden="1"/>
    </xf>
    <xf numFmtId="0" fontId="32" fillId="0" borderId="18" xfId="0" applyFont="1" applyFill="1" applyBorder="1" applyAlignment="1" applyProtection="1">
      <alignment horizontal="left"/>
      <protection hidden="1"/>
    </xf>
    <xf numFmtId="164" fontId="32" fillId="0" borderId="18" xfId="29" applyNumberFormat="1" applyFont="1" applyFill="1" applyBorder="1" applyAlignment="1" applyProtection="1">
      <alignment horizontal="left"/>
      <protection hidden="1"/>
    </xf>
    <xf numFmtId="0" fontId="42" fillId="0" borderId="0" xfId="59" applyFont="1" applyFill="1" applyBorder="1" applyAlignment="1" applyProtection="1">
      <alignment horizontal="left" vertical="center"/>
      <protection hidden="1"/>
    </xf>
    <xf numFmtId="0" fontId="43" fillId="0" borderId="0" xfId="58" applyFont="1" applyAlignment="1" applyProtection="1">
      <alignment vertical="center"/>
      <protection hidden="1"/>
    </xf>
    <xf numFmtId="0" fontId="42" fillId="0" borderId="0" xfId="58" applyFont="1" applyAlignment="1" applyProtection="1">
      <alignment horizontal="center" vertical="center"/>
      <protection hidden="1"/>
    </xf>
    <xf numFmtId="0" fontId="43" fillId="0" borderId="0" xfId="59" applyFont="1" applyFill="1" applyBorder="1" applyAlignment="1" applyProtection="1">
      <alignment horizontal="left" vertical="center"/>
      <protection hidden="1"/>
    </xf>
    <xf numFmtId="0" fontId="43" fillId="0" borderId="0" xfId="58" applyFont="1" applyAlignment="1" applyProtection="1">
      <alignment horizontal="center" vertical="center"/>
      <protection hidden="1"/>
    </xf>
    <xf numFmtId="0" fontId="43" fillId="0" borderId="0" xfId="58" applyFont="1" applyFill="1" applyBorder="1" applyAlignment="1" applyProtection="1">
      <alignment vertical="center"/>
      <protection hidden="1"/>
    </xf>
    <xf numFmtId="0" fontId="35" fillId="0" borderId="0" xfId="58" applyFont="1" applyAlignment="1" applyProtection="1">
      <alignment vertical="center"/>
      <protection hidden="1"/>
    </xf>
    <xf numFmtId="14" fontId="35" fillId="0" borderId="0" xfId="58" applyNumberFormat="1" applyFont="1" applyAlignment="1" applyProtection="1">
      <alignment horizontal="center" vertical="center"/>
      <protection hidden="1"/>
    </xf>
    <xf numFmtId="14" fontId="35" fillId="0" borderId="0" xfId="58" applyNumberFormat="1" applyFont="1" applyAlignment="1" applyProtection="1">
      <alignment vertical="center"/>
      <protection hidden="1"/>
    </xf>
    <xf numFmtId="0" fontId="35" fillId="0" borderId="0" xfId="58" applyFont="1" applyBorder="1" applyAlignment="1" applyProtection="1">
      <alignment vertical="center"/>
      <protection hidden="1"/>
    </xf>
    <xf numFmtId="0" fontId="35" fillId="0" borderId="0" xfId="58" applyFont="1" applyAlignment="1" applyProtection="1">
      <alignment horizontal="right" vertical="center"/>
      <protection hidden="1"/>
    </xf>
    <xf numFmtId="0" fontId="35" fillId="0" borderId="0" xfId="58" applyFont="1" applyAlignment="1" applyProtection="1">
      <alignment horizontal="left" vertical="center"/>
      <protection hidden="1"/>
    </xf>
    <xf numFmtId="0" fontId="44" fillId="0" borderId="0" xfId="58" applyFont="1" applyAlignment="1" applyProtection="1">
      <alignment horizontal="center" vertical="center"/>
      <protection hidden="1"/>
    </xf>
    <xf numFmtId="0" fontId="35" fillId="0" borderId="0" xfId="58" applyFont="1" applyBorder="1" applyAlignment="1" applyProtection="1">
      <alignment horizontal="center" vertical="center"/>
      <protection hidden="1"/>
    </xf>
    <xf numFmtId="164" fontId="35" fillId="0" borderId="0" xfId="29" applyNumberFormat="1" applyFont="1" applyBorder="1" applyAlignment="1" applyProtection="1">
      <alignment vertical="center"/>
      <protection hidden="1"/>
    </xf>
    <xf numFmtId="0" fontId="35" fillId="0" borderId="0" xfId="58" applyFont="1" applyAlignment="1" applyProtection="1">
      <alignment horizontal="center" vertical="center"/>
      <protection hidden="1"/>
    </xf>
    <xf numFmtId="0" fontId="40" fillId="0" borderId="0" xfId="58" applyFont="1" applyAlignment="1" applyProtection="1">
      <alignment horizontal="left" vertical="center"/>
      <protection hidden="1"/>
    </xf>
    <xf numFmtId="0" fontId="40" fillId="0" borderId="0" xfId="58" applyFont="1" applyAlignment="1" applyProtection="1">
      <alignment vertical="center"/>
      <protection hidden="1"/>
    </xf>
    <xf numFmtId="0" fontId="40" fillId="0" borderId="0" xfId="58" applyFont="1" applyAlignment="1" applyProtection="1">
      <alignment horizontal="center" vertical="center"/>
      <protection hidden="1"/>
    </xf>
    <xf numFmtId="16" fontId="32" fillId="0" borderId="18" xfId="56" applyNumberFormat="1" applyFont="1" applyBorder="1" applyAlignment="1">
      <alignment horizontal="center"/>
    </xf>
    <xf numFmtId="0" fontId="32" fillId="0" borderId="0" xfId="56" applyNumberFormat="1" applyFont="1" applyAlignment="1">
      <alignment horizontal="center"/>
    </xf>
    <xf numFmtId="0" fontId="32" fillId="0" borderId="17" xfId="56" applyNumberFormat="1" applyFont="1" applyBorder="1" applyAlignment="1">
      <alignment horizontal="center"/>
    </xf>
    <xf numFmtId="0" fontId="32" fillId="0" borderId="18" xfId="55" applyNumberFormat="1" applyFont="1" applyBorder="1" applyAlignment="1">
      <alignment horizontal="center" vertical="center"/>
    </xf>
    <xf numFmtId="0" fontId="32" fillId="0" borderId="18" xfId="55" quotePrefix="1" applyFont="1" applyBorder="1" applyAlignment="1">
      <alignment horizontal="center" vertical="center"/>
    </xf>
    <xf numFmtId="0" fontId="32" fillId="0" borderId="19" xfId="55" applyFont="1" applyBorder="1" applyAlignment="1">
      <alignment horizontal="center" vertical="center"/>
    </xf>
    <xf numFmtId="0" fontId="32" fillId="0" borderId="2" xfId="56" applyFont="1" applyBorder="1" applyAlignment="1">
      <alignment horizontal="center" vertical="center"/>
    </xf>
    <xf numFmtId="0" fontId="35" fillId="0" borderId="27" xfId="0" applyFont="1" applyBorder="1" applyAlignment="1">
      <alignment vertical="center"/>
    </xf>
    <xf numFmtId="0" fontId="32" fillId="0" borderId="2" xfId="56" applyFont="1" applyBorder="1" applyAlignment="1">
      <alignment horizontal="center" vertical="center" wrapText="1" shrinkToFit="1"/>
    </xf>
    <xf numFmtId="0" fontId="39" fillId="0" borderId="0" xfId="56" applyFont="1"/>
    <xf numFmtId="3" fontId="35" fillId="0" borderId="21" xfId="0" applyNumberFormat="1" applyFont="1" applyBorder="1" applyAlignment="1">
      <alignment horizontal="center" vertical="center"/>
    </xf>
    <xf numFmtId="0" fontId="42" fillId="0" borderId="0" xfId="58" applyFont="1" applyAlignment="1" applyProtection="1">
      <alignment vertical="center"/>
      <protection hidden="1"/>
    </xf>
    <xf numFmtId="0" fontId="43" fillId="0" borderId="0" xfId="58" applyFont="1" applyBorder="1" applyAlignment="1" applyProtection="1">
      <alignment vertical="center"/>
      <protection hidden="1"/>
    </xf>
    <xf numFmtId="0" fontId="35" fillId="0" borderId="0" xfId="58" applyFont="1" applyFill="1" applyBorder="1" applyAlignment="1" applyProtection="1">
      <alignment vertical="center"/>
      <protection hidden="1"/>
    </xf>
    <xf numFmtId="0" fontId="35" fillId="0" borderId="0" xfId="58" applyFont="1" applyFill="1" applyAlignment="1" applyProtection="1">
      <alignment vertical="center"/>
      <protection hidden="1"/>
    </xf>
    <xf numFmtId="0" fontId="43" fillId="21" borderId="2" xfId="58" applyFont="1" applyFill="1" applyBorder="1" applyAlignment="1" applyProtection="1">
      <alignment vertical="center"/>
      <protection locked="0" hidden="1"/>
    </xf>
    <xf numFmtId="0" fontId="43" fillId="0" borderId="0" xfId="58" applyFont="1" applyAlignment="1" applyProtection="1">
      <alignment vertical="center"/>
      <protection locked="0" hidden="1"/>
    </xf>
    <xf numFmtId="0" fontId="43" fillId="27" borderId="2" xfId="58" applyFont="1" applyFill="1" applyBorder="1" applyAlignment="1" applyProtection="1">
      <alignment vertical="center"/>
      <protection locked="0" hidden="1"/>
    </xf>
    <xf numFmtId="0" fontId="43" fillId="0" borderId="0" xfId="58" applyFont="1" applyFill="1" applyBorder="1" applyAlignment="1" applyProtection="1">
      <alignment vertical="center"/>
      <protection locked="0" hidden="1"/>
    </xf>
    <xf numFmtId="0" fontId="43" fillId="28" borderId="2" xfId="58" applyNumberFormat="1" applyFont="1" applyFill="1" applyBorder="1" applyAlignment="1" applyProtection="1">
      <alignment vertical="center"/>
      <protection locked="0" hidden="1"/>
    </xf>
    <xf numFmtId="0" fontId="45" fillId="25" borderId="0" xfId="53" applyFont="1" applyFill="1" applyAlignment="1">
      <alignment vertical="center"/>
    </xf>
    <xf numFmtId="0" fontId="45" fillId="25" borderId="0" xfId="53" applyFont="1" applyFill="1" applyAlignment="1">
      <alignment horizontal="left" vertical="center"/>
    </xf>
    <xf numFmtId="164" fontId="35" fillId="0" borderId="0" xfId="57" applyNumberFormat="1" applyFont="1" applyAlignment="1">
      <alignment horizontal="center" vertical="center"/>
    </xf>
    <xf numFmtId="164" fontId="35" fillId="0" borderId="0" xfId="57" applyNumberFormat="1" applyFont="1" applyAlignment="1">
      <alignment horizontal="left" vertical="center" wrapText="1"/>
    </xf>
    <xf numFmtId="164" fontId="35" fillId="0" borderId="0" xfId="57" applyNumberFormat="1" applyFont="1" applyAlignment="1">
      <alignment vertical="center" wrapText="1"/>
    </xf>
    <xf numFmtId="0" fontId="41" fillId="0" borderId="19" xfId="57" quotePrefix="1" applyNumberFormat="1" applyFont="1" applyFill="1" applyBorder="1" applyAlignment="1">
      <alignment horizontal="center" vertical="center"/>
    </xf>
    <xf numFmtId="0" fontId="46" fillId="0" borderId="0" xfId="56" applyFont="1"/>
    <xf numFmtId="0" fontId="32" fillId="0" borderId="19" xfId="55" quotePrefix="1" applyFont="1" applyBorder="1" applyAlignment="1">
      <alignment horizontal="center" vertical="center"/>
    </xf>
    <xf numFmtId="0" fontId="41" fillId="0" borderId="0" xfId="0" applyFont="1" applyAlignment="1">
      <alignment vertical="center"/>
    </xf>
    <xf numFmtId="0" fontId="47" fillId="0" borderId="0" xfId="56" applyFont="1"/>
    <xf numFmtId="0" fontId="47" fillId="0" borderId="18" xfId="57" quotePrefix="1" applyNumberFormat="1" applyFont="1" applyFill="1" applyBorder="1" applyAlignment="1">
      <alignment horizontal="center" vertical="center"/>
    </xf>
    <xf numFmtId="164" fontId="32" fillId="0" borderId="0" xfId="56" applyNumberFormat="1" applyFont="1"/>
    <xf numFmtId="0" fontId="47" fillId="0" borderId="19" xfId="57" quotePrefix="1" applyNumberFormat="1" applyFont="1" applyFill="1" applyBorder="1" applyAlignment="1">
      <alignment horizontal="center" vertical="center"/>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33" fillId="0" borderId="0" xfId="56" applyFont="1" applyAlignment="1">
      <alignment horizontal="center"/>
    </xf>
    <xf numFmtId="0" fontId="35" fillId="0" borderId="0" xfId="56" applyFont="1" applyAlignment="1">
      <alignment horizontal="center"/>
    </xf>
    <xf numFmtId="0" fontId="32" fillId="25" borderId="0" xfId="0" applyFont="1" applyFill="1" applyBorder="1" applyAlignment="1" applyProtection="1">
      <alignment horizontal="center" vertical="center" wrapText="1"/>
      <protection hidden="1"/>
    </xf>
    <xf numFmtId="0" fontId="32" fillId="25" borderId="0" xfId="0" applyFont="1" applyFill="1" applyBorder="1" applyAlignment="1" applyProtection="1">
      <alignment horizontal="center" wrapText="1"/>
      <protection hidden="1"/>
    </xf>
    <xf numFmtId="0" fontId="33" fillId="25" borderId="0" xfId="0" applyFont="1" applyFill="1" applyBorder="1" applyAlignment="1" applyProtection="1">
      <alignment horizontal="right" wrapText="1"/>
      <protection hidden="1"/>
    </xf>
    <xf numFmtId="0" fontId="32" fillId="25" borderId="0" xfId="0" applyFont="1" applyFill="1" applyBorder="1" applyAlignment="1" applyProtection="1">
      <alignment wrapText="1"/>
      <protection hidden="1"/>
    </xf>
    <xf numFmtId="0" fontId="33" fillId="25" borderId="0" xfId="0" applyFont="1" applyFill="1" applyBorder="1" applyAlignment="1" applyProtection="1">
      <alignment horizontal="center" wrapText="1"/>
      <protection hidden="1"/>
    </xf>
    <xf numFmtId="0" fontId="39" fillId="0" borderId="0" xfId="56" applyFont="1" applyBorder="1" applyAlignment="1"/>
    <xf numFmtId="0" fontId="32" fillId="0" borderId="0" xfId="56" applyFont="1" applyBorder="1" applyAlignment="1">
      <alignment horizontal="center" vertical="center" wrapText="1"/>
    </xf>
    <xf numFmtId="0" fontId="32" fillId="0" borderId="0" xfId="56" applyFont="1" applyBorder="1" applyAlignment="1">
      <alignment horizontal="center"/>
    </xf>
    <xf numFmtId="0" fontId="32" fillId="0" borderId="0" xfId="56" applyFont="1" applyBorder="1"/>
    <xf numFmtId="0" fontId="32" fillId="29" borderId="2" xfId="56" applyFont="1" applyFill="1" applyBorder="1"/>
    <xf numFmtId="0" fontId="32" fillId="0" borderId="0" xfId="56" applyFont="1" applyFill="1" applyBorder="1"/>
    <xf numFmtId="0" fontId="32" fillId="0" borderId="0" xfId="56" applyFont="1" applyAlignment="1">
      <alignment horizontal="right"/>
    </xf>
    <xf numFmtId="0" fontId="32" fillId="0" borderId="0" xfId="0" applyFont="1" applyFill="1" applyBorder="1" applyProtection="1">
      <protection hidden="1"/>
    </xf>
    <xf numFmtId="0" fontId="32" fillId="29" borderId="2" xfId="0" applyFont="1" applyFill="1" applyBorder="1" applyAlignment="1" applyProtection="1">
      <alignment horizontal="center" vertical="center"/>
      <protection hidden="1"/>
    </xf>
    <xf numFmtId="0" fontId="32" fillId="0" borderId="21" xfId="56" applyFont="1" applyBorder="1" applyProtection="1">
      <protection hidden="1"/>
    </xf>
    <xf numFmtId="164" fontId="32" fillId="25" borderId="21" xfId="29" applyNumberFormat="1" applyFont="1" applyFill="1" applyBorder="1" applyAlignment="1" applyProtection="1">
      <alignment wrapText="1"/>
      <protection hidden="1"/>
    </xf>
    <xf numFmtId="14" fontId="32" fillId="25" borderId="18" xfId="0" applyNumberFormat="1" applyFont="1" applyFill="1" applyBorder="1" applyAlignment="1" applyProtection="1">
      <alignment horizontal="center" wrapText="1"/>
      <protection hidden="1"/>
    </xf>
    <xf numFmtId="0" fontId="32" fillId="25" borderId="18" xfId="0" applyNumberFormat="1" applyFont="1" applyFill="1" applyBorder="1" applyAlignment="1" applyProtection="1">
      <alignment horizontal="left" wrapText="1"/>
      <protection hidden="1"/>
    </xf>
    <xf numFmtId="164" fontId="32" fillId="25" borderId="18" xfId="29" applyNumberFormat="1" applyFont="1" applyFill="1" applyBorder="1" applyAlignment="1" applyProtection="1">
      <alignment horizontal="center" wrapText="1"/>
      <protection hidden="1"/>
    </xf>
    <xf numFmtId="14"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horizontal="center" wrapText="1"/>
      <protection hidden="1"/>
    </xf>
    <xf numFmtId="0"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wrapText="1"/>
      <protection hidden="1"/>
    </xf>
    <xf numFmtId="0" fontId="35" fillId="0" borderId="29" xfId="0" applyFont="1" applyBorder="1" applyAlignment="1">
      <alignment vertical="center"/>
    </xf>
    <xf numFmtId="0" fontId="35" fillId="0" borderId="29" xfId="0" applyFont="1" applyBorder="1" applyAlignment="1">
      <alignment horizontal="right" vertical="center"/>
    </xf>
    <xf numFmtId="0" fontId="52" fillId="0" borderId="0" xfId="54" applyFont="1" applyAlignment="1">
      <alignment vertical="center"/>
    </xf>
    <xf numFmtId="0" fontId="52" fillId="0" borderId="0" xfId="54" applyFont="1" applyBorder="1" applyAlignment="1">
      <alignment vertical="center"/>
    </xf>
    <xf numFmtId="14" fontId="52" fillId="0" borderId="0" xfId="54" applyNumberFormat="1" applyFont="1" applyAlignment="1">
      <alignment vertical="center"/>
    </xf>
    <xf numFmtId="0" fontId="54" fillId="0" borderId="0" xfId="54" applyFont="1" applyAlignment="1">
      <alignment vertical="center"/>
    </xf>
    <xf numFmtId="164" fontId="52" fillId="0" borderId="0" xfId="29" applyNumberFormat="1" applyFont="1" applyAlignment="1">
      <alignment vertical="center"/>
    </xf>
    <xf numFmtId="0" fontId="32" fillId="0" borderId="0" xfId="54" applyFont="1" applyAlignment="1">
      <alignment horizontal="center" vertical="center"/>
    </xf>
    <xf numFmtId="0" fontId="32" fillId="0" borderId="0" xfId="54" applyFont="1" applyBorder="1" applyAlignment="1">
      <alignment horizontal="center" vertical="center"/>
    </xf>
    <xf numFmtId="0" fontId="33" fillId="0" borderId="2" xfId="54" applyFont="1" applyBorder="1" applyAlignment="1">
      <alignment horizontal="center" vertical="center" wrapText="1"/>
    </xf>
    <xf numFmtId="164" fontId="33" fillId="0" borderId="2" xfId="29" applyNumberFormat="1" applyFont="1" applyBorder="1" applyAlignment="1">
      <alignment horizontal="center" vertical="center" wrapText="1"/>
    </xf>
    <xf numFmtId="0" fontId="32" fillId="0" borderId="0" xfId="54" applyFont="1" applyAlignment="1">
      <alignment horizontal="center" vertical="center" wrapText="1"/>
    </xf>
    <xf numFmtId="0" fontId="32" fillId="0" borderId="0" xfId="54" applyFont="1" applyBorder="1" applyAlignment="1">
      <alignment horizontal="center" vertical="center" wrapText="1"/>
    </xf>
    <xf numFmtId="14" fontId="42" fillId="0" borderId="2" xfId="54" quotePrefix="1" applyNumberFormat="1" applyFont="1" applyBorder="1" applyAlignment="1">
      <alignment horizontal="center" vertical="center"/>
    </xf>
    <xf numFmtId="0" fontId="42" fillId="0" borderId="2" xfId="54" applyFont="1" applyBorder="1" applyAlignment="1">
      <alignment horizontal="center" vertical="center"/>
    </xf>
    <xf numFmtId="164" fontId="42" fillId="0" borderId="2" xfId="29" quotePrefix="1" applyNumberFormat="1" applyFont="1" applyBorder="1" applyAlignment="1">
      <alignment horizontal="center" vertical="center"/>
    </xf>
    <xf numFmtId="0" fontId="43" fillId="0" borderId="0" xfId="54" applyFont="1" applyBorder="1" applyAlignment="1">
      <alignment horizontal="center" vertical="center"/>
    </xf>
    <xf numFmtId="0" fontId="43" fillId="0" borderId="30" xfId="54" applyFont="1" applyBorder="1" applyAlignment="1">
      <alignment horizontal="center" vertical="center"/>
    </xf>
    <xf numFmtId="0" fontId="32" fillId="0" borderId="18" xfId="54" applyFont="1" applyBorder="1" applyAlignment="1">
      <alignment vertical="center"/>
    </xf>
    <xf numFmtId="0" fontId="32" fillId="0" borderId="18" xfId="54" applyFont="1" applyBorder="1" applyAlignment="1">
      <alignment horizontal="center" vertical="center"/>
    </xf>
    <xf numFmtId="165" fontId="32" fillId="0" borderId="18" xfId="29" applyNumberFormat="1" applyFont="1" applyBorder="1" applyAlignment="1">
      <alignment horizontal="center" vertical="center"/>
    </xf>
    <xf numFmtId="164" fontId="32" fillId="0" borderId="18" xfId="29" applyNumberFormat="1" applyFont="1" applyBorder="1" applyAlignment="1">
      <alignment horizontal="center" vertical="center"/>
    </xf>
    <xf numFmtId="164" fontId="32" fillId="0" borderId="18" xfId="29" applyNumberFormat="1" applyFont="1" applyBorder="1" applyAlignment="1">
      <alignment vertical="center"/>
    </xf>
    <xf numFmtId="0" fontId="52" fillId="0" borderId="0" xfId="54" applyFont="1" applyBorder="1" applyAlignment="1">
      <alignment horizontal="center" vertical="center"/>
    </xf>
    <xf numFmtId="0" fontId="52" fillId="0" borderId="31" xfId="54" applyFont="1" applyBorder="1" applyAlignment="1">
      <alignment vertical="center"/>
    </xf>
    <xf numFmtId="164" fontId="32" fillId="0" borderId="19" xfId="29" applyNumberFormat="1" applyFont="1" applyBorder="1" applyAlignment="1">
      <alignment vertical="center"/>
    </xf>
    <xf numFmtId="164" fontId="55" fillId="0" borderId="0" xfId="29" applyNumberFormat="1" applyFont="1" applyAlignment="1">
      <alignment vertical="center"/>
    </xf>
    <xf numFmtId="164" fontId="52" fillId="0" borderId="0" xfId="54" applyNumberFormat="1" applyFont="1" applyAlignment="1">
      <alignment vertical="center"/>
    </xf>
    <xf numFmtId="164" fontId="38" fillId="0" borderId="0" xfId="29" applyNumberFormat="1" applyFont="1" applyAlignment="1">
      <alignment horizontal="center" vertical="center"/>
    </xf>
    <xf numFmtId="0" fontId="38" fillId="0" borderId="0" xfId="54" applyFont="1" applyAlignment="1">
      <alignment horizontal="center" vertical="center"/>
    </xf>
    <xf numFmtId="0" fontId="55" fillId="0" borderId="0" xfId="54" applyFont="1" applyAlignment="1">
      <alignment horizontal="center" vertical="center"/>
    </xf>
    <xf numFmtId="164" fontId="55" fillId="0" borderId="0" xfId="29" applyNumberFormat="1" applyFont="1" applyAlignment="1">
      <alignment horizontal="center" vertical="center"/>
    </xf>
    <xf numFmtId="0" fontId="56" fillId="0" borderId="0" xfId="54" applyFont="1" applyAlignment="1">
      <alignment horizontal="center" vertical="center"/>
    </xf>
    <xf numFmtId="43" fontId="52" fillId="0" borderId="0" xfId="29" applyFont="1" applyAlignment="1">
      <alignment vertical="center"/>
    </xf>
    <xf numFmtId="164" fontId="56" fillId="0" borderId="0" xfId="29" applyNumberFormat="1" applyFont="1" applyAlignment="1">
      <alignment horizontal="center" vertical="center"/>
    </xf>
    <xf numFmtId="172" fontId="52" fillId="0" borderId="0" xfId="54" applyNumberFormat="1" applyFont="1" applyAlignment="1">
      <alignment horizontal="center" vertical="center"/>
    </xf>
    <xf numFmtId="43" fontId="52" fillId="0" borderId="0" xfId="29" applyFont="1" applyAlignment="1">
      <alignment horizontal="center" vertical="center"/>
    </xf>
    <xf numFmtId="14" fontId="55" fillId="0" borderId="0" xfId="54" applyNumberFormat="1" applyFont="1" applyAlignment="1">
      <alignment vertical="center"/>
    </xf>
    <xf numFmtId="0" fontId="33" fillId="30" borderId="2" xfId="52" applyFont="1" applyFill="1" applyBorder="1" applyAlignment="1" applyProtection="1">
      <alignment vertical="center"/>
      <protection locked="0" hidden="1"/>
    </xf>
    <xf numFmtId="0" fontId="57" fillId="0" borderId="0" xfId="54" applyFont="1" applyBorder="1" applyAlignment="1">
      <alignment vertical="center"/>
    </xf>
    <xf numFmtId="14" fontId="32" fillId="0" borderId="18" xfId="55" applyNumberFormat="1" applyFont="1" applyBorder="1" applyAlignment="1">
      <alignment horizontal="left" vertical="center"/>
    </xf>
    <xf numFmtId="165" fontId="32" fillId="0" borderId="19" xfId="29" applyNumberFormat="1" applyFont="1" applyBorder="1" applyAlignment="1">
      <alignment horizontal="center" vertical="center"/>
    </xf>
    <xf numFmtId="164" fontId="32" fillId="0" borderId="19" xfId="29" applyNumberFormat="1" applyFont="1" applyBorder="1" applyAlignment="1">
      <alignment horizontal="center" vertical="center"/>
    </xf>
    <xf numFmtId="0" fontId="58" fillId="0" borderId="0" xfId="56" applyFont="1"/>
    <xf numFmtId="0" fontId="32" fillId="0" borderId="0" xfId="56" applyFont="1" applyAlignment="1" applyProtection="1">
      <alignment horizontal="center"/>
      <protection hidden="1"/>
    </xf>
    <xf numFmtId="0" fontId="59" fillId="0" borderId="18" xfId="56" applyFont="1" applyBorder="1" applyAlignment="1">
      <alignment horizontal="center"/>
    </xf>
    <xf numFmtId="16" fontId="59" fillId="0" borderId="18" xfId="56" applyNumberFormat="1" applyFont="1" applyBorder="1" applyAlignment="1">
      <alignment horizontal="center"/>
    </xf>
    <xf numFmtId="14" fontId="59" fillId="0" borderId="18" xfId="55" applyNumberFormat="1" applyFont="1" applyBorder="1" applyAlignment="1">
      <alignment horizontal="center" vertical="center"/>
    </xf>
    <xf numFmtId="0" fontId="59" fillId="0" borderId="18" xfId="55" applyFont="1" applyBorder="1" applyAlignment="1">
      <alignment vertical="center"/>
    </xf>
    <xf numFmtId="0" fontId="59" fillId="0" borderId="19" xfId="55" applyFont="1" applyBorder="1" applyAlignment="1">
      <alignment vertical="center"/>
    </xf>
    <xf numFmtId="0" fontId="59" fillId="0" borderId="19" xfId="55" quotePrefix="1" applyFont="1" applyBorder="1" applyAlignment="1">
      <alignment horizontal="center" vertical="center"/>
    </xf>
    <xf numFmtId="0" fontId="59" fillId="0" borderId="18" xfId="56" quotePrefix="1" applyFont="1" applyBorder="1" applyAlignment="1">
      <alignment horizontal="center"/>
    </xf>
    <xf numFmtId="164" fontId="59" fillId="0" borderId="18" xfId="29" applyNumberFormat="1" applyFont="1" applyBorder="1"/>
    <xf numFmtId="0" fontId="59" fillId="0" borderId="0" xfId="56" applyFont="1"/>
    <xf numFmtId="0" fontId="59" fillId="0" borderId="19" xfId="55" applyFont="1" applyBorder="1" applyAlignment="1">
      <alignment horizontal="center" vertical="center"/>
    </xf>
    <xf numFmtId="0" fontId="35" fillId="0" borderId="0" xfId="77" applyFont="1"/>
    <xf numFmtId="0" fontId="35" fillId="0" borderId="0" xfId="77" applyFont="1" applyBorder="1" applyAlignment="1">
      <alignment horizontal="left"/>
    </xf>
    <xf numFmtId="0" fontId="35" fillId="0" borderId="0" xfId="77" applyFont="1" applyAlignment="1">
      <alignment horizontal="center"/>
    </xf>
    <xf numFmtId="164" fontId="35" fillId="0" borderId="0" xfId="29" applyNumberFormat="1" applyFont="1"/>
    <xf numFmtId="0" fontId="40" fillId="0" borderId="0" xfId="77" applyFont="1"/>
    <xf numFmtId="173" fontId="35" fillId="0" borderId="0" xfId="29" applyNumberFormat="1" applyFont="1"/>
    <xf numFmtId="164" fontId="35" fillId="0" borderId="0" xfId="29" applyNumberFormat="1" applyFont="1" applyAlignment="1">
      <alignment horizontal="right"/>
    </xf>
    <xf numFmtId="164" fontId="35" fillId="0" borderId="0" xfId="29" applyNumberFormat="1" applyFont="1" applyAlignment="1"/>
    <xf numFmtId="43" fontId="35" fillId="0" borderId="0" xfId="29" applyFont="1"/>
    <xf numFmtId="164" fontId="35" fillId="0" borderId="0" xfId="29" applyNumberFormat="1" applyFont="1" applyBorder="1" applyAlignment="1">
      <alignment horizontal="left"/>
    </xf>
    <xf numFmtId="164" fontId="35" fillId="0" borderId="0" xfId="29" applyNumberFormat="1" applyFont="1" applyAlignment="1">
      <alignment horizontal="center"/>
    </xf>
    <xf numFmtId="164" fontId="40" fillId="0" borderId="0" xfId="29" applyNumberFormat="1" applyFont="1" applyBorder="1" applyAlignment="1"/>
    <xf numFmtId="164" fontId="40" fillId="0" borderId="0" xfId="29" applyNumberFormat="1" applyFont="1" applyBorder="1" applyAlignment="1">
      <alignment horizontal="center"/>
    </xf>
    <xf numFmtId="173" fontId="40" fillId="0" borderId="0" xfId="29" applyNumberFormat="1" applyFont="1" applyBorder="1" applyAlignment="1">
      <alignment horizontal="center"/>
    </xf>
    <xf numFmtId="43" fontId="40" fillId="0" borderId="0" xfId="29" applyFont="1" applyBorder="1" applyAlignment="1">
      <alignment horizontal="center"/>
    </xf>
    <xf numFmtId="164" fontId="35" fillId="0" borderId="16" xfId="29" applyNumberFormat="1" applyFont="1" applyBorder="1" applyAlignment="1">
      <alignment horizontal="center"/>
    </xf>
    <xf numFmtId="173" fontId="35" fillId="0" borderId="16" xfId="29" applyNumberFormat="1" applyFont="1" applyBorder="1" applyAlignment="1">
      <alignment horizontal="center"/>
    </xf>
    <xf numFmtId="43" fontId="35" fillId="0" borderId="16" xfId="29" applyFont="1" applyBorder="1" applyAlignment="1">
      <alignment horizontal="center"/>
    </xf>
    <xf numFmtId="0" fontId="35" fillId="0" borderId="0" xfId="77" applyFont="1" applyBorder="1"/>
    <xf numFmtId="164" fontId="35" fillId="0" borderId="0" xfId="29" applyNumberFormat="1" applyFont="1" applyBorder="1" applyAlignment="1">
      <alignment horizontal="center"/>
    </xf>
    <xf numFmtId="0" fontId="40" fillId="0" borderId="2" xfId="77" applyFont="1" applyBorder="1" applyAlignment="1">
      <alignment horizontal="center" vertical="center" wrapText="1"/>
    </xf>
    <xf numFmtId="173" fontId="40" fillId="0" borderId="2" xfId="29" applyNumberFormat="1" applyFont="1" applyBorder="1" applyAlignment="1">
      <alignment horizontal="center" vertical="center" wrapText="1"/>
    </xf>
    <xf numFmtId="164" fontId="40" fillId="0" borderId="2" xfId="29" applyNumberFormat="1" applyFont="1" applyBorder="1" applyAlignment="1">
      <alignment horizontal="center" vertical="center" wrapText="1"/>
    </xf>
    <xf numFmtId="164" fontId="40" fillId="0" borderId="2" xfId="29" applyNumberFormat="1" applyFont="1" applyFill="1" applyBorder="1" applyAlignment="1">
      <alignment horizontal="center" vertical="center" wrapText="1"/>
    </xf>
    <xf numFmtId="43" fontId="40" fillId="0" borderId="2" xfId="29" applyFont="1" applyBorder="1" applyAlignment="1">
      <alignment horizontal="center" vertical="center" wrapText="1"/>
    </xf>
    <xf numFmtId="164" fontId="35" fillId="0" borderId="0" xfId="29" applyNumberFormat="1" applyFont="1" applyBorder="1" applyAlignment="1">
      <alignment horizontal="left" vertical="center" wrapText="1"/>
    </xf>
    <xf numFmtId="0" fontId="40" fillId="0" borderId="0" xfId="77" applyFont="1" applyAlignment="1">
      <alignment horizontal="center" vertical="center" wrapText="1"/>
    </xf>
    <xf numFmtId="0" fontId="35" fillId="0" borderId="19" xfId="56" applyFont="1" applyBorder="1"/>
    <xf numFmtId="0" fontId="35" fillId="0" borderId="18" xfId="77" applyFont="1" applyFill="1" applyBorder="1"/>
    <xf numFmtId="43" fontId="62" fillId="0" borderId="19" xfId="29" applyNumberFormat="1" applyFont="1" applyBorder="1"/>
    <xf numFmtId="164" fontId="35" fillId="0" borderId="19" xfId="29" applyNumberFormat="1" applyFont="1" applyBorder="1"/>
    <xf numFmtId="43" fontId="35" fillId="0" borderId="0" xfId="29" applyFont="1" applyFill="1" applyBorder="1" applyAlignment="1">
      <alignment horizontal="left"/>
    </xf>
    <xf numFmtId="0" fontId="35" fillId="0" borderId="19" xfId="78" applyFont="1" applyBorder="1" applyAlignment="1">
      <alignment vertical="center"/>
    </xf>
    <xf numFmtId="14" fontId="35" fillId="0" borderId="18" xfId="29" applyNumberFormat="1" applyFont="1" applyBorder="1" applyAlignment="1">
      <alignment horizontal="center"/>
    </xf>
    <xf numFmtId="164" fontId="35" fillId="0" borderId="19" xfId="29" applyNumberFormat="1" applyFont="1" applyBorder="1" applyAlignment="1">
      <alignment horizontal="center"/>
    </xf>
    <xf numFmtId="164" fontId="35" fillId="0" borderId="12" xfId="29" applyNumberFormat="1" applyFont="1" applyBorder="1" applyAlignment="1">
      <alignment horizontal="center"/>
    </xf>
    <xf numFmtId="0" fontId="35" fillId="0" borderId="19" xfId="77" applyFont="1" applyBorder="1"/>
    <xf numFmtId="43" fontId="62" fillId="0" borderId="18" xfId="29" applyNumberFormat="1" applyFont="1" applyBorder="1"/>
    <xf numFmtId="164" fontId="35" fillId="0" borderId="18" xfId="29" applyNumberFormat="1" applyFont="1" applyFill="1" applyBorder="1"/>
    <xf numFmtId="0" fontId="35" fillId="0" borderId="18" xfId="78" applyFont="1" applyBorder="1" applyAlignment="1">
      <alignment vertical="center"/>
    </xf>
    <xf numFmtId="164" fontId="35" fillId="0" borderId="18" xfId="29" applyNumberFormat="1" applyFont="1" applyBorder="1" applyAlignment="1">
      <alignment horizontal="center"/>
    </xf>
    <xf numFmtId="0" fontId="35" fillId="0" borderId="18" xfId="77" applyFont="1" applyBorder="1"/>
    <xf numFmtId="0" fontId="63" fillId="0" borderId="22" xfId="77" applyFont="1" applyFill="1" applyBorder="1"/>
    <xf numFmtId="173" fontId="63" fillId="0" borderId="22" xfId="29" applyNumberFormat="1" applyFont="1" applyBorder="1"/>
    <xf numFmtId="164" fontId="63" fillId="0" borderId="22" xfId="29" applyNumberFormat="1" applyFont="1" applyFill="1" applyBorder="1"/>
    <xf numFmtId="164" fontId="63" fillId="25" borderId="22" xfId="29" applyNumberFormat="1" applyFont="1" applyFill="1" applyBorder="1" applyAlignment="1">
      <alignment horizontal="right"/>
    </xf>
    <xf numFmtId="164" fontId="35" fillId="0" borderId="18" xfId="29" applyNumberFormat="1" applyFont="1" applyBorder="1"/>
    <xf numFmtId="164" fontId="63" fillId="0" borderId="22" xfId="29" applyNumberFormat="1" applyFont="1" applyBorder="1" applyAlignment="1"/>
    <xf numFmtId="164" fontId="63" fillId="0" borderId="20" xfId="29" applyNumberFormat="1" applyFont="1" applyBorder="1"/>
    <xf numFmtId="43" fontId="63" fillId="0" borderId="22" xfId="29" applyFont="1" applyFill="1" applyBorder="1"/>
    <xf numFmtId="164" fontId="35" fillId="0" borderId="0" xfId="29" applyNumberFormat="1" applyFont="1" applyFill="1" applyBorder="1" applyAlignment="1">
      <alignment horizontal="left"/>
    </xf>
    <xf numFmtId="0" fontId="63" fillId="0" borderId="0" xfId="77" applyFont="1"/>
    <xf numFmtId="0" fontId="40" fillId="0" borderId="2" xfId="77" applyFont="1" applyBorder="1"/>
    <xf numFmtId="0" fontId="40" fillId="0" borderId="2" xfId="77" applyFont="1" applyBorder="1" applyAlignment="1">
      <alignment horizontal="center"/>
    </xf>
    <xf numFmtId="173" fontId="40" fillId="0" borderId="2" xfId="29" applyNumberFormat="1" applyFont="1" applyBorder="1" applyAlignment="1">
      <alignment horizontal="center"/>
    </xf>
    <xf numFmtId="164" fontId="40" fillId="0" borderId="2" xfId="29" applyNumberFormat="1" applyFont="1" applyBorder="1"/>
    <xf numFmtId="164" fontId="40" fillId="0" borderId="2" xfId="29" applyNumberFormat="1" applyFont="1" applyBorder="1" applyAlignment="1"/>
    <xf numFmtId="0" fontId="40" fillId="0" borderId="0" xfId="77" applyFont="1" applyBorder="1"/>
    <xf numFmtId="0" fontId="40" fillId="0" borderId="0" xfId="77" applyFont="1" applyBorder="1" applyAlignment="1">
      <alignment horizontal="center"/>
    </xf>
    <xf numFmtId="164" fontId="40" fillId="0" borderId="0" xfId="29" applyNumberFormat="1" applyFont="1" applyBorder="1"/>
    <xf numFmtId="43" fontId="40" fillId="0" borderId="0" xfId="29" applyFont="1" applyBorder="1"/>
    <xf numFmtId="164" fontId="35" fillId="0" borderId="18" xfId="29" applyNumberFormat="1" applyFont="1" applyBorder="1" applyAlignment="1">
      <alignment horizontal="left"/>
    </xf>
    <xf numFmtId="0" fontId="35" fillId="0" borderId="47" xfId="77" applyFont="1" applyBorder="1"/>
    <xf numFmtId="3" fontId="35" fillId="0" borderId="18" xfId="78" applyNumberFormat="1" applyFont="1" applyBorder="1" applyAlignment="1">
      <alignment vertical="center"/>
    </xf>
    <xf numFmtId="164" fontId="35" fillId="0" borderId="21" xfId="29" applyNumberFormat="1" applyFont="1" applyBorder="1" applyAlignment="1">
      <alignment horizontal="left"/>
    </xf>
    <xf numFmtId="164" fontId="35" fillId="0" borderId="21" xfId="29" applyNumberFormat="1" applyFont="1" applyBorder="1" applyAlignment="1">
      <alignment horizontal="center"/>
    </xf>
    <xf numFmtId="164" fontId="35" fillId="0" borderId="2" xfId="29" applyNumberFormat="1" applyFont="1" applyBorder="1" applyAlignment="1">
      <alignment horizontal="center"/>
    </xf>
    <xf numFmtId="164" fontId="35" fillId="0" borderId="2" xfId="29" applyNumberFormat="1" applyFont="1" applyBorder="1"/>
    <xf numFmtId="0" fontId="35" fillId="0" borderId="28" xfId="77" applyFont="1" applyBorder="1"/>
    <xf numFmtId="164" fontId="35" fillId="0" borderId="0" xfId="29" applyNumberFormat="1" applyFont="1" applyFill="1" applyBorder="1"/>
    <xf numFmtId="164" fontId="35" fillId="0" borderId="0" xfId="77" applyNumberFormat="1" applyFont="1"/>
    <xf numFmtId="0" fontId="35" fillId="0" borderId="22" xfId="77" applyFont="1" applyBorder="1" applyAlignment="1">
      <alignment horizontal="left"/>
    </xf>
    <xf numFmtId="43" fontId="35" fillId="0" borderId="18" xfId="29" applyFont="1" applyBorder="1" applyAlignment="1">
      <alignment horizontal="center"/>
    </xf>
    <xf numFmtId="3" fontId="35" fillId="0" borderId="0" xfId="77" applyNumberFormat="1" applyFont="1" applyBorder="1"/>
    <xf numFmtId="0" fontId="35" fillId="0" borderId="0" xfId="78" applyFont="1" applyBorder="1" applyAlignment="1">
      <alignment vertical="center"/>
    </xf>
    <xf numFmtId="43" fontId="35" fillId="0" borderId="0" xfId="29" applyFont="1" applyBorder="1" applyAlignment="1">
      <alignment horizontal="center"/>
    </xf>
    <xf numFmtId="164" fontId="35" fillId="0" borderId="0" xfId="29" applyNumberFormat="1" applyFont="1" applyBorder="1"/>
    <xf numFmtId="0" fontId="63" fillId="0" borderId="20" xfId="77" applyFont="1" applyFill="1" applyBorder="1"/>
    <xf numFmtId="173" fontId="63" fillId="0" borderId="20" xfId="29" applyNumberFormat="1" applyFont="1" applyBorder="1"/>
    <xf numFmtId="164" fontId="63" fillId="0" borderId="20" xfId="29" applyNumberFormat="1" applyFont="1" applyFill="1" applyBorder="1"/>
    <xf numFmtId="164" fontId="63" fillId="25" borderId="20" xfId="29" applyNumberFormat="1" applyFont="1" applyFill="1" applyBorder="1" applyAlignment="1">
      <alignment horizontal="right"/>
    </xf>
    <xf numFmtId="164" fontId="35" fillId="0" borderId="20" xfId="29" applyNumberFormat="1" applyFont="1" applyBorder="1"/>
    <xf numFmtId="164" fontId="35" fillId="0" borderId="20" xfId="29" applyNumberFormat="1" applyFont="1" applyFill="1" applyBorder="1"/>
    <xf numFmtId="43" fontId="63" fillId="0" borderId="20" xfId="29" applyFont="1" applyFill="1" applyBorder="1"/>
    <xf numFmtId="164" fontId="35" fillId="0" borderId="35" xfId="29" applyNumberFormat="1" applyFont="1" applyBorder="1" applyAlignment="1"/>
    <xf numFmtId="164" fontId="35" fillId="0" borderId="5" xfId="29" applyNumberFormat="1" applyFont="1" applyBorder="1" applyAlignment="1"/>
    <xf numFmtId="164" fontId="35" fillId="0" borderId="17" xfId="29" applyNumberFormat="1" applyFont="1" applyBorder="1" applyAlignment="1"/>
    <xf numFmtId="164" fontId="35" fillId="0" borderId="19" xfId="29" applyNumberFormat="1" applyFont="1" applyBorder="1" applyAlignment="1">
      <alignment horizontal="left"/>
    </xf>
    <xf numFmtId="14" fontId="35" fillId="0" borderId="0" xfId="29" applyNumberFormat="1" applyFont="1" applyBorder="1" applyAlignment="1">
      <alignment horizontal="center"/>
    </xf>
    <xf numFmtId="164" fontId="63" fillId="0" borderId="22" xfId="29" applyNumberFormat="1" applyFont="1" applyBorder="1"/>
    <xf numFmtId="164" fontId="35" fillId="0" borderId="22" xfId="29" applyNumberFormat="1" applyFont="1" applyBorder="1" applyAlignment="1">
      <alignment horizontal="left"/>
    </xf>
    <xf numFmtId="43" fontId="35" fillId="0" borderId="22" xfId="29" applyFont="1" applyBorder="1" applyAlignment="1">
      <alignment horizontal="center"/>
    </xf>
    <xf numFmtId="164" fontId="35" fillId="0" borderId="22" xfId="29" applyNumberFormat="1" applyFont="1" applyBorder="1" applyAlignment="1">
      <alignment horizontal="center"/>
    </xf>
    <xf numFmtId="0" fontId="35" fillId="0" borderId="22" xfId="77" applyFont="1" applyBorder="1"/>
    <xf numFmtId="164" fontId="41" fillId="0" borderId="0" xfId="78" applyNumberFormat="1" applyFont="1" applyFill="1" applyBorder="1" applyAlignment="1">
      <alignment vertical="center"/>
    </xf>
    <xf numFmtId="14" fontId="35" fillId="0" borderId="19" xfId="29" applyNumberFormat="1" applyFont="1" applyBorder="1" applyAlignment="1">
      <alignment horizontal="center"/>
    </xf>
    <xf numFmtId="14" fontId="35" fillId="0" borderId="18" xfId="29" applyNumberFormat="1" applyFont="1" applyBorder="1" applyAlignment="1">
      <alignment horizontal="center" vertical="center"/>
    </xf>
    <xf numFmtId="164" fontId="35" fillId="0" borderId="19" xfId="29" applyNumberFormat="1" applyFont="1" applyBorder="1" applyAlignment="1"/>
    <xf numFmtId="164" fontId="35" fillId="0" borderId="17" xfId="29" applyNumberFormat="1" applyFont="1" applyBorder="1" applyAlignment="1">
      <alignment horizontal="center"/>
    </xf>
    <xf numFmtId="164" fontId="40" fillId="0" borderId="18" xfId="29" applyNumberFormat="1" applyFont="1" applyBorder="1"/>
    <xf numFmtId="0" fontId="35" fillId="0" borderId="19" xfId="77" applyFont="1" applyFill="1" applyBorder="1"/>
    <xf numFmtId="173" fontId="35" fillId="0" borderId="0" xfId="29" applyNumberFormat="1" applyFont="1" applyBorder="1" applyAlignment="1">
      <alignment horizontal="center"/>
    </xf>
    <xf numFmtId="173" fontId="35" fillId="0" borderId="0" xfId="29" applyNumberFormat="1" applyFont="1" applyBorder="1"/>
    <xf numFmtId="41" fontId="33" fillId="25" borderId="0" xfId="53" applyNumberFormat="1" applyFont="1" applyFill="1" applyAlignment="1">
      <alignment vertical="top"/>
    </xf>
    <xf numFmtId="41" fontId="32" fillId="0" borderId="0" xfId="57" applyNumberFormat="1" applyFont="1" applyAlignment="1">
      <alignment horizontal="center" vertical="center"/>
    </xf>
    <xf numFmtId="41" fontId="33" fillId="0" borderId="0" xfId="57" applyNumberFormat="1" applyFont="1" applyAlignment="1">
      <alignment vertical="center" wrapText="1"/>
    </xf>
    <xf numFmtId="41" fontId="32" fillId="0" borderId="0" xfId="29" applyNumberFormat="1" applyFont="1" applyAlignment="1">
      <alignment horizontal="center" vertical="center"/>
    </xf>
    <xf numFmtId="41" fontId="32" fillId="0" borderId="0" xfId="57" applyNumberFormat="1" applyFont="1" applyAlignment="1">
      <alignment vertical="center" wrapText="1"/>
    </xf>
    <xf numFmtId="41" fontId="33" fillId="25" borderId="0" xfId="53" applyNumberFormat="1" applyFont="1" applyFill="1" applyAlignment="1">
      <alignment horizontal="left" vertical="top" wrapText="1"/>
    </xf>
    <xf numFmtId="41" fontId="33" fillId="25" borderId="0" xfId="29" applyNumberFormat="1" applyFont="1" applyFill="1" applyBorder="1" applyAlignment="1">
      <alignment vertical="top" wrapText="1"/>
    </xf>
    <xf numFmtId="41" fontId="48" fillId="0" borderId="0" xfId="29" applyNumberFormat="1" applyFont="1"/>
    <xf numFmtId="41" fontId="48" fillId="0" borderId="0" xfId="77" applyNumberFormat="1" applyFont="1"/>
    <xf numFmtId="41" fontId="32" fillId="0" borderId="0" xfId="29" applyNumberFormat="1" applyFont="1"/>
    <xf numFmtId="41" fontId="32" fillId="0" borderId="0" xfId="77" applyNumberFormat="1" applyFont="1"/>
    <xf numFmtId="41" fontId="32" fillId="0" borderId="0" xfId="29" applyNumberFormat="1" applyFont="1" applyBorder="1" applyAlignment="1"/>
    <xf numFmtId="41" fontId="32" fillId="0" borderId="0" xfId="29" applyNumberFormat="1" applyFont="1" applyBorder="1" applyAlignment="1">
      <alignment horizontal="center"/>
    </xf>
    <xf numFmtId="41" fontId="32" fillId="0" borderId="0" xfId="29" applyNumberFormat="1" applyFont="1" applyBorder="1"/>
    <xf numFmtId="41" fontId="32" fillId="0" borderId="0" xfId="77" applyNumberFormat="1" applyFont="1" applyBorder="1"/>
    <xf numFmtId="41" fontId="33" fillId="0" borderId="0" xfId="29" applyNumberFormat="1" applyFont="1" applyAlignment="1">
      <alignment horizontal="center" vertical="center"/>
    </xf>
    <xf numFmtId="41" fontId="33" fillId="0" borderId="0" xfId="77" applyNumberFormat="1" applyFont="1" applyAlignment="1">
      <alignment horizontal="center" vertical="center"/>
    </xf>
    <xf numFmtId="41" fontId="33" fillId="0" borderId="2" xfId="29" applyNumberFormat="1" applyFont="1" applyBorder="1" applyAlignment="1">
      <alignment horizontal="center" vertical="center" wrapText="1"/>
    </xf>
    <xf numFmtId="41" fontId="33" fillId="0" borderId="0" xfId="29" applyNumberFormat="1" applyFont="1" applyAlignment="1">
      <alignment horizontal="center" vertical="center" wrapText="1"/>
    </xf>
    <xf numFmtId="41" fontId="33" fillId="0" borderId="0" xfId="77" applyNumberFormat="1" applyFont="1" applyAlignment="1">
      <alignment horizontal="center" vertical="center" wrapText="1"/>
    </xf>
    <xf numFmtId="41" fontId="32" fillId="0" borderId="2" xfId="77" applyNumberFormat="1" applyFont="1" applyBorder="1" applyAlignment="1">
      <alignment horizontal="center" vertical="center"/>
    </xf>
    <xf numFmtId="41" fontId="32" fillId="0" borderId="2" xfId="29" applyNumberFormat="1" applyFont="1" applyBorder="1" applyAlignment="1">
      <alignment horizontal="center" vertical="center"/>
    </xf>
    <xf numFmtId="41" fontId="32" fillId="0" borderId="0" xfId="77" applyNumberFormat="1" applyFont="1" applyAlignment="1">
      <alignment horizontal="center" vertical="center"/>
    </xf>
    <xf numFmtId="41" fontId="32" fillId="0" borderId="2" xfId="77" applyNumberFormat="1" applyFont="1" applyBorder="1"/>
    <xf numFmtId="41" fontId="32" fillId="0" borderId="2" xfId="29" applyNumberFormat="1" applyFont="1" applyBorder="1"/>
    <xf numFmtId="41" fontId="32" fillId="0" borderId="0" xfId="77" applyNumberFormat="1" applyFont="1" applyAlignment="1">
      <alignment horizontal="right"/>
    </xf>
    <xf numFmtId="41" fontId="35" fillId="0" borderId="0" xfId="77" applyNumberFormat="1" applyFont="1"/>
    <xf numFmtId="41" fontId="32" fillId="0" borderId="0" xfId="29" quotePrefix="1" applyNumberFormat="1" applyFont="1" applyBorder="1" applyAlignment="1">
      <alignment horizontal="left"/>
    </xf>
    <xf numFmtId="41" fontId="32" fillId="0" borderId="0" xfId="29" applyNumberFormat="1" applyFont="1" applyAlignment="1"/>
    <xf numFmtId="41" fontId="32" fillId="0" borderId="0" xfId="29" applyNumberFormat="1" applyFont="1" applyAlignment="1">
      <alignment horizontal="right"/>
    </xf>
    <xf numFmtId="41" fontId="64" fillId="0" borderId="0" xfId="57" applyNumberFormat="1" applyFont="1" applyAlignment="1">
      <alignment horizontal="center" vertical="center"/>
    </xf>
    <xf numFmtId="0" fontId="35" fillId="0" borderId="12" xfId="56" applyFont="1" applyBorder="1"/>
    <xf numFmtId="0" fontId="35" fillId="0" borderId="12" xfId="78" applyFont="1" applyBorder="1" applyAlignment="1">
      <alignment vertical="center"/>
    </xf>
    <xf numFmtId="0" fontId="35" fillId="0" borderId="18" xfId="56" applyFont="1" applyBorder="1"/>
    <xf numFmtId="0" fontId="35" fillId="0" borderId="18" xfId="78" applyFont="1" applyBorder="1" applyAlignment="1">
      <alignment horizontal="left" vertical="center"/>
    </xf>
    <xf numFmtId="0" fontId="35" fillId="0" borderId="18" xfId="0" applyFont="1" applyFill="1" applyBorder="1" applyAlignment="1">
      <alignment vertical="center"/>
    </xf>
    <xf numFmtId="0" fontId="35" fillId="0" borderId="18" xfId="0" applyFont="1" applyFill="1" applyBorder="1" applyAlignment="1">
      <alignment horizontal="center" vertical="center"/>
    </xf>
    <xf numFmtId="164" fontId="35" fillId="0" borderId="18" xfId="29" applyNumberFormat="1" applyFont="1" applyFill="1" applyBorder="1" applyAlignment="1">
      <alignment vertical="center"/>
    </xf>
    <xf numFmtId="164" fontId="35" fillId="0" borderId="19" xfId="29" applyNumberFormat="1" applyFont="1" applyFill="1" applyBorder="1" applyAlignment="1">
      <alignment vertical="center"/>
    </xf>
    <xf numFmtId="0" fontId="65" fillId="0" borderId="18" xfId="0" applyFont="1" applyFill="1" applyBorder="1" applyAlignment="1">
      <alignment vertical="center"/>
    </xf>
    <xf numFmtId="0" fontId="65" fillId="0" borderId="18" xfId="0" applyFont="1" applyFill="1" applyBorder="1" applyAlignment="1">
      <alignment horizontal="center" vertical="center"/>
    </xf>
    <xf numFmtId="164" fontId="65" fillId="0" borderId="18" xfId="29" applyNumberFormat="1" applyFont="1" applyFill="1" applyBorder="1" applyAlignment="1">
      <alignment vertical="center"/>
    </xf>
    <xf numFmtId="164" fontId="65" fillId="0" borderId="19" xfId="29" applyNumberFormat="1" applyFont="1" applyFill="1" applyBorder="1" applyAlignment="1">
      <alignment vertical="center"/>
    </xf>
    <xf numFmtId="0" fontId="60" fillId="0" borderId="18" xfId="0" applyFont="1" applyBorder="1" applyAlignment="1">
      <alignment vertical="center"/>
    </xf>
    <xf numFmtId="0" fontId="60" fillId="0" borderId="18" xfId="0" applyFont="1" applyBorder="1" applyAlignment="1">
      <alignment horizontal="center" vertical="center"/>
    </xf>
    <xf numFmtId="164" fontId="60" fillId="0" borderId="18" xfId="29" applyNumberFormat="1" applyFont="1" applyBorder="1" applyAlignment="1">
      <alignment vertical="center"/>
    </xf>
    <xf numFmtId="164" fontId="60" fillId="0" borderId="19" xfId="29" applyNumberFormat="1" applyFont="1" applyBorder="1" applyAlignment="1">
      <alignment vertical="center"/>
    </xf>
    <xf numFmtId="3" fontId="60" fillId="0" borderId="18" xfId="0" applyNumberFormat="1" applyFont="1" applyBorder="1" applyAlignment="1">
      <alignment vertical="center"/>
    </xf>
    <xf numFmtId="3" fontId="35" fillId="0" borderId="18" xfId="0" applyNumberFormat="1" applyFont="1" applyFill="1" applyBorder="1" applyAlignment="1">
      <alignment horizontal="center" vertical="center"/>
    </xf>
    <xf numFmtId="3" fontId="35" fillId="0" borderId="18" xfId="0" applyNumberFormat="1" applyFont="1" applyFill="1" applyBorder="1" applyAlignment="1">
      <alignment vertical="center"/>
    </xf>
    <xf numFmtId="0" fontId="35" fillId="0" borderId="19" xfId="57" quotePrefix="1" applyNumberFormat="1" applyFont="1" applyFill="1" applyBorder="1" applyAlignment="1">
      <alignment horizontal="center" vertical="center"/>
    </xf>
    <xf numFmtId="0" fontId="35" fillId="0" borderId="18" xfId="57" quotePrefix="1" applyNumberFormat="1" applyFont="1" applyFill="1" applyBorder="1" applyAlignment="1">
      <alignment horizontal="center" vertical="center"/>
    </xf>
    <xf numFmtId="164" fontId="35" fillId="0" borderId="0" xfId="54" applyNumberFormat="1" applyFont="1" applyAlignment="1">
      <alignment vertical="center"/>
    </xf>
    <xf numFmtId="164" fontId="35" fillId="0" borderId="0" xfId="29" applyNumberFormat="1" applyFont="1" applyBorder="1" applyAlignment="1">
      <alignment horizontal="center"/>
    </xf>
    <xf numFmtId="164" fontId="35" fillId="0" borderId="22" xfId="29" applyNumberFormat="1" applyFont="1" applyFill="1" applyBorder="1"/>
    <xf numFmtId="164" fontId="52" fillId="0" borderId="0" xfId="29" applyNumberFormat="1" applyFont="1" applyBorder="1" applyAlignment="1">
      <alignment vertical="center"/>
    </xf>
    <xf numFmtId="164" fontId="66" fillId="0" borderId="0" xfId="57" applyNumberFormat="1" applyFont="1" applyAlignment="1">
      <alignment horizontal="center" vertical="center" wrapText="1"/>
    </xf>
    <xf numFmtId="164" fontId="67" fillId="0" borderId="0" xfId="57" applyNumberFormat="1" applyFont="1" applyAlignment="1">
      <alignment vertical="center" wrapText="1"/>
    </xf>
    <xf numFmtId="164" fontId="67" fillId="0" borderId="0" xfId="57" applyNumberFormat="1" applyFont="1" applyAlignment="1">
      <alignment horizontal="left" vertical="center" wrapText="1"/>
    </xf>
    <xf numFmtId="0" fontId="64" fillId="0" borderId="0" xfId="59" applyFont="1" applyAlignment="1">
      <alignment vertical="center"/>
    </xf>
    <xf numFmtId="0" fontId="68" fillId="0" borderId="0" xfId="0" applyFont="1" applyAlignment="1">
      <alignment vertical="center"/>
    </xf>
    <xf numFmtId="0" fontId="67" fillId="0" borderId="0" xfId="0" applyFont="1" applyAlignment="1">
      <alignment vertical="center"/>
    </xf>
    <xf numFmtId="0" fontId="67" fillId="0" borderId="0" xfId="0" applyFont="1" applyAlignment="1">
      <alignment horizontal="center" vertical="center"/>
    </xf>
    <xf numFmtId="164" fontId="67" fillId="0" borderId="0" xfId="29" applyNumberFormat="1" applyFont="1" applyAlignment="1">
      <alignment vertical="center"/>
    </xf>
    <xf numFmtId="0" fontId="64" fillId="0" borderId="0" xfId="56" applyFont="1" applyAlignment="1" applyProtection="1">
      <protection hidden="1"/>
    </xf>
    <xf numFmtId="0" fontId="35" fillId="0" borderId="44" xfId="0" applyFont="1" applyBorder="1" applyAlignment="1">
      <alignment vertical="center"/>
    </xf>
    <xf numFmtId="0" fontId="35" fillId="31" borderId="2" xfId="0" applyFont="1" applyFill="1" applyBorder="1" applyAlignment="1">
      <alignment vertical="center"/>
    </xf>
    <xf numFmtId="165" fontId="35" fillId="0" borderId="19" xfId="29" applyNumberFormat="1" applyFont="1" applyBorder="1" applyAlignment="1">
      <alignment horizontal="center" vertical="center"/>
    </xf>
    <xf numFmtId="165" fontId="35" fillId="0" borderId="18" xfId="29" applyNumberFormat="1" applyFont="1" applyBorder="1" applyAlignment="1">
      <alignment horizontal="center" vertical="center"/>
    </xf>
    <xf numFmtId="43" fontId="59" fillId="0" borderId="0" xfId="56" applyNumberFormat="1" applyFont="1"/>
    <xf numFmtId="43" fontId="32" fillId="0" borderId="18" xfId="29" applyFont="1" applyBorder="1"/>
    <xf numFmtId="43" fontId="35" fillId="0" borderId="19" xfId="29" applyNumberFormat="1" applyFont="1" applyBorder="1"/>
    <xf numFmtId="0" fontId="44" fillId="32" borderId="28" xfId="58" applyFont="1" applyFill="1" applyBorder="1" applyAlignment="1" applyProtection="1">
      <alignment horizontal="center" vertical="center"/>
      <protection hidden="1"/>
    </xf>
    <xf numFmtId="0" fontId="43" fillId="0" borderId="18" xfId="59" applyNumberFormat="1" applyFont="1" applyBorder="1" applyAlignment="1" applyProtection="1">
      <alignment horizontal="center" vertical="center"/>
      <protection hidden="1"/>
    </xf>
    <xf numFmtId="0" fontId="43" fillId="0" borderId="18" xfId="0" applyFont="1" applyFill="1" applyBorder="1" applyAlignment="1" applyProtection="1">
      <alignment horizontal="left"/>
      <protection hidden="1"/>
    </xf>
    <xf numFmtId="0" fontId="43" fillId="0" borderId="18" xfId="58" applyFont="1" applyBorder="1" applyAlignment="1" applyProtection="1">
      <alignment vertical="center"/>
      <protection hidden="1"/>
    </xf>
    <xf numFmtId="0" fontId="43" fillId="0" borderId="18" xfId="58" applyFont="1" applyBorder="1" applyAlignment="1" applyProtection="1">
      <alignment horizontal="center" vertical="center"/>
      <protection hidden="1"/>
    </xf>
    <xf numFmtId="164" fontId="43" fillId="0" borderId="18" xfId="29" applyNumberFormat="1" applyFont="1" applyBorder="1" applyAlignment="1" applyProtection="1">
      <alignment vertical="center"/>
      <protection hidden="1"/>
    </xf>
    <xf numFmtId="164" fontId="43" fillId="0" borderId="18" xfId="29" applyNumberFormat="1" applyFont="1" applyFill="1" applyBorder="1" applyAlignment="1" applyProtection="1">
      <alignment horizontal="center"/>
      <protection hidden="1"/>
    </xf>
    <xf numFmtId="164" fontId="43" fillId="0" borderId="18" xfId="29" applyNumberFormat="1" applyFont="1" applyFill="1" applyBorder="1" applyAlignment="1" applyProtection="1">
      <alignment horizontal="left"/>
      <protection hidden="1"/>
    </xf>
    <xf numFmtId="0" fontId="43" fillId="0" borderId="20" xfId="59" applyNumberFormat="1" applyFont="1" applyBorder="1" applyAlignment="1" applyProtection="1">
      <alignment horizontal="center" vertical="center"/>
      <protection hidden="1"/>
    </xf>
    <xf numFmtId="0" fontId="43" fillId="0" borderId="20" xfId="0" applyFont="1" applyFill="1" applyBorder="1" applyAlignment="1" applyProtection="1">
      <alignment horizontal="left"/>
      <protection hidden="1"/>
    </xf>
    <xf numFmtId="0" fontId="43" fillId="0" borderId="20" xfId="58" applyFont="1" applyBorder="1" applyAlignment="1" applyProtection="1">
      <alignment vertical="center"/>
      <protection hidden="1"/>
    </xf>
    <xf numFmtId="0" fontId="43" fillId="0" borderId="20" xfId="58" applyFont="1" applyBorder="1" applyAlignment="1" applyProtection="1">
      <alignment horizontal="center" vertical="center"/>
      <protection hidden="1"/>
    </xf>
    <xf numFmtId="164" fontId="43" fillId="0" borderId="20" xfId="29" applyNumberFormat="1" applyFont="1" applyBorder="1" applyAlignment="1" applyProtection="1">
      <alignment vertical="center"/>
      <protection hidden="1"/>
    </xf>
    <xf numFmtId="164" fontId="43" fillId="0" borderId="20" xfId="29" applyNumberFormat="1" applyFont="1" applyFill="1" applyBorder="1" applyAlignment="1" applyProtection="1">
      <alignment horizontal="center"/>
      <protection hidden="1"/>
    </xf>
    <xf numFmtId="164" fontId="43" fillId="0" borderId="20" xfId="29" applyNumberFormat="1" applyFont="1" applyFill="1" applyBorder="1" applyAlignment="1" applyProtection="1">
      <alignment horizontal="left"/>
      <protection hidden="1"/>
    </xf>
    <xf numFmtId="0" fontId="43" fillId="0" borderId="2" xfId="58" applyFont="1" applyBorder="1" applyAlignment="1" applyProtection="1">
      <alignment vertical="center"/>
      <protection hidden="1"/>
    </xf>
    <xf numFmtId="164" fontId="43" fillId="0" borderId="2" xfId="29" applyNumberFormat="1" applyFont="1" applyBorder="1" applyAlignment="1" applyProtection="1">
      <alignment vertical="center"/>
      <protection hidden="1"/>
    </xf>
    <xf numFmtId="0" fontId="43" fillId="0" borderId="28" xfId="58" applyFont="1" applyBorder="1" applyAlignment="1" applyProtection="1">
      <alignment horizontal="center" vertical="center" wrapText="1"/>
      <protection hidden="1"/>
    </xf>
    <xf numFmtId="0" fontId="69" fillId="0" borderId="0" xfId="58" applyFont="1" applyAlignment="1" applyProtection="1">
      <alignment horizontal="left" vertical="center"/>
      <protection hidden="1"/>
    </xf>
    <xf numFmtId="0" fontId="70" fillId="0" borderId="0" xfId="58" applyFont="1" applyAlignment="1" applyProtection="1">
      <alignment vertical="center"/>
      <protection hidden="1"/>
    </xf>
    <xf numFmtId="0" fontId="69" fillId="0" borderId="0" xfId="58" applyFont="1" applyAlignment="1" applyProtection="1">
      <alignment horizontal="center" vertical="center"/>
      <protection hidden="1"/>
    </xf>
    <xf numFmtId="0" fontId="32" fillId="0" borderId="19" xfId="56" quotePrefix="1" applyFont="1" applyBorder="1" applyAlignment="1">
      <alignment horizontal="center"/>
    </xf>
    <xf numFmtId="0" fontId="71" fillId="0" borderId="0" xfId="58" applyFont="1" applyAlignment="1" applyProtection="1">
      <alignment horizontal="center" vertical="center"/>
      <protection hidden="1"/>
    </xf>
    <xf numFmtId="0" fontId="35" fillId="21" borderId="2" xfId="0" applyFont="1" applyFill="1" applyBorder="1" applyAlignment="1">
      <alignment horizontal="center" vertical="center"/>
    </xf>
    <xf numFmtId="164" fontId="35" fillId="21" borderId="2" xfId="29" applyNumberFormat="1" applyFont="1" applyFill="1" applyBorder="1" applyAlignment="1">
      <alignment horizontal="center" vertical="center"/>
    </xf>
    <xf numFmtId="0" fontId="35" fillId="21" borderId="2" xfId="0" applyFont="1" applyFill="1" applyBorder="1" applyAlignment="1">
      <alignment horizontal="center" vertical="center" wrapText="1"/>
    </xf>
    <xf numFmtId="0" fontId="35" fillId="21" borderId="28" xfId="0" applyFont="1" applyFill="1" applyBorder="1" applyAlignment="1">
      <alignment horizontal="center" vertical="center" wrapText="1"/>
    </xf>
    <xf numFmtId="0" fontId="35" fillId="21" borderId="26" xfId="0" applyFont="1" applyFill="1" applyBorder="1" applyAlignment="1">
      <alignment horizontal="center" vertical="center" wrapText="1"/>
    </xf>
    <xf numFmtId="3" fontId="35" fillId="21" borderId="2" xfId="29" applyNumberFormat="1" applyFont="1" applyFill="1" applyBorder="1" applyAlignment="1">
      <alignment horizontal="center" vertical="center"/>
    </xf>
    <xf numFmtId="164" fontId="40" fillId="0" borderId="0" xfId="57" applyNumberFormat="1" applyFont="1" applyAlignment="1">
      <alignment horizontal="center" vertical="center" wrapText="1"/>
    </xf>
    <xf numFmtId="164" fontId="35" fillId="0" borderId="0" xfId="57" applyNumberFormat="1" applyFont="1" applyAlignment="1">
      <alignment horizontal="center" vertical="center" wrapText="1"/>
    </xf>
    <xf numFmtId="164" fontId="35" fillId="0" borderId="0" xfId="57" applyNumberFormat="1" applyFont="1" applyAlignment="1">
      <alignment horizontal="center" vertical="center"/>
    </xf>
    <xf numFmtId="0" fontId="36" fillId="0" borderId="16" xfId="0" applyFont="1" applyBorder="1" applyAlignment="1">
      <alignment horizontal="center" vertical="center"/>
    </xf>
    <xf numFmtId="0" fontId="33" fillId="0" borderId="0" xfId="59" applyFont="1" applyAlignment="1">
      <alignment horizontal="center" vertical="center" wrapText="1"/>
    </xf>
    <xf numFmtId="0" fontId="32" fillId="0" borderId="0" xfId="59" applyFont="1" applyAlignment="1">
      <alignment horizontal="center" vertical="center"/>
    </xf>
    <xf numFmtId="0" fontId="35" fillId="26" borderId="28" xfId="0" applyFont="1" applyFill="1" applyBorder="1" applyAlignment="1">
      <alignment horizontal="center" vertical="center"/>
    </xf>
    <xf numFmtId="0" fontId="35" fillId="26" borderId="22" xfId="0" applyFont="1" applyFill="1" applyBorder="1" applyAlignment="1">
      <alignment horizontal="center" vertical="center"/>
    </xf>
    <xf numFmtId="0" fontId="35" fillId="26" borderId="26" xfId="0" applyFont="1" applyFill="1" applyBorder="1" applyAlignment="1">
      <alignment horizontal="center" vertical="center"/>
    </xf>
    <xf numFmtId="0" fontId="32" fillId="0" borderId="0" xfId="56" applyFont="1" applyAlignment="1" applyProtection="1">
      <alignment horizontal="center"/>
      <protection hidden="1"/>
    </xf>
    <xf numFmtId="0" fontId="43" fillId="0" borderId="2" xfId="58" applyFont="1" applyBorder="1" applyAlignment="1" applyProtection="1">
      <alignment horizontal="center" vertical="center" wrapText="1"/>
      <protection hidden="1"/>
    </xf>
    <xf numFmtId="0" fontId="43" fillId="0" borderId="28" xfId="58" applyFont="1" applyBorder="1" applyAlignment="1" applyProtection="1">
      <alignment horizontal="center" vertical="center"/>
      <protection hidden="1"/>
    </xf>
    <xf numFmtId="0" fontId="43" fillId="0" borderId="2" xfId="58" applyFont="1" applyBorder="1" applyAlignment="1" applyProtection="1">
      <alignment horizontal="center" vertical="center"/>
      <protection hidden="1"/>
    </xf>
    <xf numFmtId="0" fontId="32" fillId="0" borderId="2" xfId="56" applyFont="1" applyBorder="1" applyAlignment="1">
      <alignment horizontal="center" vertical="center" wrapText="1"/>
    </xf>
    <xf numFmtId="0" fontId="32" fillId="0" borderId="2" xfId="56" applyFont="1" applyBorder="1" applyAlignment="1">
      <alignment horizontal="center" vertical="center"/>
    </xf>
    <xf numFmtId="0" fontId="32" fillId="0" borderId="28" xfId="56" applyFont="1" applyBorder="1" applyAlignment="1">
      <alignment horizontal="center" vertical="center" wrapText="1"/>
    </xf>
    <xf numFmtId="0" fontId="32" fillId="0" borderId="22" xfId="56" applyFont="1" applyBorder="1" applyAlignment="1">
      <alignment horizontal="center" vertical="center" wrapText="1"/>
    </xf>
    <xf numFmtId="0" fontId="32" fillId="0" borderId="32" xfId="56" applyFont="1" applyBorder="1" applyAlignment="1">
      <alignment horizontal="center"/>
    </xf>
    <xf numFmtId="0" fontId="32" fillId="0" borderId="33" xfId="56" applyFont="1" applyBorder="1" applyAlignment="1">
      <alignment horizontal="center"/>
    </xf>
    <xf numFmtId="0" fontId="32" fillId="0" borderId="34" xfId="56" applyFont="1" applyBorder="1" applyAlignment="1">
      <alignment horizontal="center"/>
    </xf>
    <xf numFmtId="0" fontId="32" fillId="0" borderId="32" xfId="56" applyFont="1" applyBorder="1" applyAlignment="1">
      <alignment horizontal="center" vertical="center" wrapText="1" shrinkToFit="1"/>
    </xf>
    <xf numFmtId="0" fontId="32" fillId="0" borderId="33" xfId="56" applyFont="1" applyBorder="1" applyAlignment="1">
      <alignment horizontal="center" vertical="center" wrapText="1" shrinkToFit="1"/>
    </xf>
    <xf numFmtId="0" fontId="32" fillId="0" borderId="34" xfId="56" applyFont="1" applyBorder="1" applyAlignment="1">
      <alignment horizontal="center" vertical="center" wrapText="1" shrinkToFit="1"/>
    </xf>
    <xf numFmtId="0" fontId="32" fillId="0" borderId="0" xfId="56" applyFont="1" applyAlignment="1">
      <alignment horizontal="left"/>
    </xf>
    <xf numFmtId="0" fontId="32" fillId="0" borderId="35" xfId="56" applyFont="1" applyBorder="1" applyAlignment="1">
      <alignment horizontal="center"/>
    </xf>
    <xf numFmtId="0" fontId="32" fillId="0" borderId="17" xfId="56" applyFont="1" applyBorder="1" applyAlignment="1">
      <alignment horizontal="center"/>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48" fillId="0" borderId="0" xfId="56" applyFont="1" applyAlignment="1">
      <alignment horizontal="center" vertical="center"/>
    </xf>
    <xf numFmtId="0" fontId="35" fillId="0" borderId="0" xfId="56" applyFont="1" applyAlignment="1">
      <alignment horizontal="center"/>
    </xf>
    <xf numFmtId="0" fontId="32" fillId="0" borderId="0" xfId="56" applyFont="1" applyAlignment="1">
      <alignment horizontal="center"/>
    </xf>
    <xf numFmtId="0" fontId="32" fillId="0" borderId="2" xfId="56" applyFont="1" applyBorder="1" applyAlignment="1">
      <alignment horizontal="center"/>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32" fillId="0" borderId="0" xfId="0" quotePrefix="1" applyFont="1" applyBorder="1" applyAlignment="1" applyProtection="1">
      <alignment horizontal="left"/>
      <protection hidden="1"/>
    </xf>
    <xf numFmtId="0" fontId="32" fillId="0" borderId="36" xfId="0" quotePrefix="1" applyFont="1" applyBorder="1" applyAlignment="1" applyProtection="1">
      <alignment horizontal="left"/>
      <protection hidden="1"/>
    </xf>
    <xf numFmtId="0" fontId="32" fillId="25" borderId="2" xfId="0" applyFont="1" applyFill="1" applyBorder="1" applyAlignment="1" applyProtection="1">
      <alignment horizontal="center" vertical="center" wrapText="1"/>
      <protection hidden="1"/>
    </xf>
    <xf numFmtId="0" fontId="32" fillId="25" borderId="37" xfId="0" applyFont="1" applyFill="1" applyBorder="1" applyAlignment="1" applyProtection="1">
      <alignment horizontal="center" vertical="center" wrapText="1"/>
      <protection hidden="1"/>
    </xf>
    <xf numFmtId="0" fontId="32" fillId="25" borderId="38" xfId="0" applyFont="1" applyFill="1" applyBorder="1" applyAlignment="1" applyProtection="1">
      <alignment horizontal="center" vertical="center" wrapText="1"/>
      <protection hidden="1"/>
    </xf>
    <xf numFmtId="0" fontId="32" fillId="25" borderId="25" xfId="0" applyNumberFormat="1" applyFont="1" applyFill="1" applyBorder="1" applyAlignment="1" applyProtection="1">
      <alignment horizontal="center" vertical="center" wrapText="1"/>
      <protection hidden="1"/>
    </xf>
    <xf numFmtId="0" fontId="32" fillId="25" borderId="39" xfId="0" applyNumberFormat="1" applyFont="1" applyFill="1" applyBorder="1" applyAlignment="1" applyProtection="1">
      <alignment horizontal="center" vertical="center" wrapText="1"/>
      <protection hidden="1"/>
    </xf>
    <xf numFmtId="14" fontId="32" fillId="25" borderId="40" xfId="0" applyNumberFormat="1" applyFont="1" applyFill="1" applyBorder="1" applyAlignment="1" applyProtection="1">
      <alignment horizontal="center" vertical="center" wrapText="1"/>
      <protection hidden="1"/>
    </xf>
    <xf numFmtId="14" fontId="32" fillId="25" borderId="41" xfId="0" applyNumberFormat="1" applyFont="1" applyFill="1" applyBorder="1" applyAlignment="1" applyProtection="1">
      <alignment horizontal="center" vertical="center" wrapText="1"/>
      <protection hidden="1"/>
    </xf>
    <xf numFmtId="0" fontId="32" fillId="25" borderId="25" xfId="0" applyFont="1" applyFill="1" applyBorder="1" applyAlignment="1" applyProtection="1">
      <alignment horizontal="center" vertical="center" wrapText="1"/>
      <protection hidden="1"/>
    </xf>
    <xf numFmtId="0" fontId="32" fillId="25" borderId="39" xfId="0" applyFont="1" applyFill="1" applyBorder="1" applyAlignment="1" applyProtection="1">
      <alignment horizontal="center" vertical="center" wrapText="1"/>
      <protection hidden="1"/>
    </xf>
    <xf numFmtId="0" fontId="32" fillId="0" borderId="0" xfId="0" quotePrefix="1" applyFont="1" applyAlignment="1" applyProtection="1">
      <protection hidden="1"/>
    </xf>
    <xf numFmtId="0" fontId="32" fillId="0" borderId="0" xfId="0" applyFont="1" applyAlignment="1" applyProtection="1">
      <protection hidden="1"/>
    </xf>
    <xf numFmtId="0" fontId="32" fillId="25" borderId="42" xfId="0" applyFont="1" applyFill="1" applyBorder="1" applyAlignment="1" applyProtection="1">
      <alignment horizontal="center" vertical="center" wrapText="1"/>
      <protection hidden="1"/>
    </xf>
    <xf numFmtId="14" fontId="32" fillId="25" borderId="25" xfId="0" applyNumberFormat="1" applyFont="1" applyFill="1" applyBorder="1" applyAlignment="1" applyProtection="1">
      <alignment horizontal="center" vertical="center" wrapText="1"/>
      <protection hidden="1"/>
    </xf>
    <xf numFmtId="14" fontId="32" fillId="25" borderId="39" xfId="0" applyNumberFormat="1" applyFont="1" applyFill="1" applyBorder="1" applyAlignment="1" applyProtection="1">
      <alignment horizontal="center" vertical="center" wrapText="1"/>
      <protection hidden="1"/>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0" fontId="52" fillId="0" borderId="0" xfId="54" applyFont="1" applyAlignment="1">
      <alignment horizontal="center" vertical="center"/>
    </xf>
    <xf numFmtId="0" fontId="52" fillId="0" borderId="0" xfId="54" applyFont="1" applyAlignment="1">
      <alignment horizontal="left" vertical="center" wrapText="1"/>
    </xf>
    <xf numFmtId="0" fontId="52" fillId="0" borderId="0" xfId="54" applyFont="1" applyAlignment="1">
      <alignment horizontal="left" vertical="center"/>
    </xf>
    <xf numFmtId="0" fontId="37" fillId="0" borderId="0" xfId="54" applyFont="1" applyAlignment="1">
      <alignment horizontal="center" vertical="center" wrapText="1"/>
    </xf>
    <xf numFmtId="0" fontId="44" fillId="0" borderId="32" xfId="54" applyFont="1" applyBorder="1" applyAlignment="1">
      <alignment horizontal="center" vertical="center" wrapText="1"/>
    </xf>
    <xf numFmtId="0" fontId="44" fillId="0" borderId="34" xfId="54" applyFont="1" applyBorder="1" applyAlignment="1">
      <alignment horizontal="center" vertical="center" wrapText="1"/>
    </xf>
    <xf numFmtId="0" fontId="44" fillId="0" borderId="43" xfId="54" applyFont="1" applyBorder="1" applyAlignment="1">
      <alignment horizontal="center" vertical="center" wrapText="1"/>
    </xf>
    <xf numFmtId="0" fontId="44" fillId="0" borderId="44" xfId="54" applyFont="1" applyBorder="1" applyAlignment="1">
      <alignment horizontal="center" vertical="center" wrapText="1"/>
    </xf>
    <xf numFmtId="0" fontId="44" fillId="0" borderId="45" xfId="54" applyFont="1" applyBorder="1" applyAlignment="1">
      <alignment horizontal="center" vertical="center" wrapText="1"/>
    </xf>
    <xf numFmtId="0" fontId="44" fillId="0" borderId="46" xfId="54" applyFont="1" applyBorder="1" applyAlignment="1">
      <alignment horizontal="center" vertical="center" wrapText="1"/>
    </xf>
    <xf numFmtId="0" fontId="53" fillId="0" borderId="0" xfId="54" applyFont="1" applyAlignment="1">
      <alignment horizontal="center" vertical="center"/>
    </xf>
    <xf numFmtId="14" fontId="33" fillId="0" borderId="2" xfId="54" applyNumberFormat="1" applyFont="1" applyBorder="1" applyAlignment="1">
      <alignment horizontal="center" vertical="center" wrapText="1"/>
    </xf>
    <xf numFmtId="14" fontId="33" fillId="0" borderId="2" xfId="54" applyNumberFormat="1" applyFont="1" applyBorder="1" applyAlignment="1">
      <alignment horizontal="center" vertical="center"/>
    </xf>
    <xf numFmtId="0" fontId="33" fillId="0" borderId="35" xfId="54" applyFont="1" applyBorder="1" applyAlignment="1">
      <alignment horizontal="center" vertical="center"/>
    </xf>
    <xf numFmtId="0" fontId="33" fillId="0" borderId="5" xfId="54" applyFont="1" applyBorder="1" applyAlignment="1">
      <alignment horizontal="center" vertical="center"/>
    </xf>
    <xf numFmtId="0" fontId="33" fillId="0" borderId="17" xfId="54" applyFont="1" applyBorder="1" applyAlignment="1">
      <alignment horizontal="center" vertical="center"/>
    </xf>
    <xf numFmtId="0" fontId="33" fillId="0" borderId="2" xfId="54" applyFont="1" applyBorder="1" applyAlignment="1">
      <alignment horizontal="center" vertical="center"/>
    </xf>
    <xf numFmtId="0" fontId="33" fillId="0" borderId="28" xfId="54" applyFont="1" applyBorder="1" applyAlignment="1">
      <alignment horizontal="center" vertical="center" wrapText="1"/>
    </xf>
    <xf numFmtId="0" fontId="33" fillId="0" borderId="26" xfId="54" applyFont="1" applyBorder="1" applyAlignment="1">
      <alignment horizontal="center" vertical="center" wrapText="1"/>
    </xf>
    <xf numFmtId="164" fontId="35" fillId="0" borderId="0" xfId="29" applyNumberFormat="1" applyFont="1" applyBorder="1" applyAlignment="1">
      <alignment horizontal="center"/>
    </xf>
    <xf numFmtId="164" fontId="35" fillId="0" borderId="2" xfId="29" applyNumberFormat="1" applyFont="1" applyBorder="1" applyAlignment="1">
      <alignment horizontal="center"/>
    </xf>
    <xf numFmtId="41" fontId="32" fillId="0" borderId="0" xfId="29" applyNumberFormat="1" applyFont="1" applyAlignment="1">
      <alignment horizontal="center"/>
    </xf>
    <xf numFmtId="41" fontId="33" fillId="0" borderId="0" xfId="57" applyNumberFormat="1" applyFont="1" applyAlignment="1">
      <alignment horizontal="center" vertical="center" wrapText="1"/>
    </xf>
    <xf numFmtId="41" fontId="32" fillId="0" borderId="0" xfId="57" applyNumberFormat="1" applyFont="1" applyAlignment="1">
      <alignment horizontal="center" vertical="center" wrapText="1"/>
    </xf>
    <xf numFmtId="41" fontId="48" fillId="0" borderId="0" xfId="29" applyNumberFormat="1" applyFont="1" applyAlignment="1">
      <alignment horizontal="center"/>
    </xf>
    <xf numFmtId="41" fontId="32" fillId="0" borderId="0" xfId="29" applyNumberFormat="1" applyFont="1" applyBorder="1" applyAlignment="1">
      <alignment horizontal="right"/>
    </xf>
    <xf numFmtId="41" fontId="33" fillId="0" borderId="2" xfId="77" applyNumberFormat="1" applyFont="1" applyBorder="1" applyAlignment="1">
      <alignment horizontal="center" vertical="center"/>
    </xf>
    <xf numFmtId="41" fontId="33" fillId="0" borderId="2" xfId="29" applyNumberFormat="1" applyFont="1" applyBorder="1" applyAlignment="1">
      <alignment horizontal="center" vertical="center"/>
    </xf>
    <xf numFmtId="41" fontId="32" fillId="0" borderId="0" xfId="29" applyNumberFormat="1" applyFont="1" applyBorder="1" applyAlignment="1">
      <alignment horizontal="left"/>
    </xf>
  </cellXfs>
  <cellStyles count="7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g" xfId="27"/>
    <cellStyle name="Check Cell" xfId="28" builtinId="23" customBuiltin="1"/>
    <cellStyle name="Comma" xfId="29" builtinId="3"/>
    <cellStyle name="Comma0" xfId="30"/>
    <cellStyle name="Currency0" xfId="31"/>
    <cellStyle name="Date" xfId="32"/>
    <cellStyle name="Explanatory Text" xfId="33" builtinId="53" customBuiltin="1"/>
    <cellStyle name="f1" xfId="34"/>
    <cellStyle name="f2" xfId="35"/>
    <cellStyle name="Fixed" xfId="36"/>
    <cellStyle name="Good" xfId="37" builtinId="26" customBuiltin="1"/>
    <cellStyle name="Header1" xfId="38"/>
    <cellStyle name="Header2" xfId="39"/>
    <cellStyle name="Heading 1" xfId="40" builtinId="16" customBuiltin="1"/>
    <cellStyle name="Heading 2" xfId="41" builtinId="17" customBuiltin="1"/>
    <cellStyle name="Heading 3" xfId="42" builtinId="18" customBuiltin="1"/>
    <cellStyle name="Heading 4" xfId="43" builtinId="19" customBuiltin="1"/>
    <cellStyle name="Input" xfId="44" builtinId="20" customBuiltin="1"/>
    <cellStyle name="k0" xfId="45"/>
    <cellStyle name="k1" xfId="46"/>
    <cellStyle name="k2" xfId="47"/>
    <cellStyle name="k3" xfId="48"/>
    <cellStyle name="Linked Cell" xfId="49" builtinId="24" customBuiltin="1"/>
    <cellStyle name="moi" xfId="50"/>
    <cellStyle name="Neutral" xfId="51" builtinId="28" customBuiltin="1"/>
    <cellStyle name="Normal" xfId="0" builtinId="0"/>
    <cellStyle name="Normal 2" xfId="78"/>
    <cellStyle name="Normal_112 - 15" xfId="52"/>
    <cellStyle name="Normal_311" xfId="53"/>
    <cellStyle name="Normal_Ban ke 2014" xfId="54"/>
    <cellStyle name="Normal_Copy of Ke-toan-mo-phong-mauso_ke_toan_NKC_excel-2" xfId="55"/>
    <cellStyle name="Normal_Ke-toan-mo-phong-mauso_ke_toan_NKC_excel-1" xfId="56"/>
    <cellStyle name="Normal_ketoanthucte_NhatKySoCai" xfId="57"/>
    <cellStyle name="Normal_PNKPXK" xfId="58"/>
    <cellStyle name="Normal_SS-NKSC" xfId="59"/>
    <cellStyle name="Normal_Z 13" xfId="77"/>
    <cellStyle name="Note" xfId="60" builtinId="10" customBuiltin="1"/>
    <cellStyle name="Output" xfId="61" builtinId="21" customBuiltin="1"/>
    <cellStyle name="TD1" xfId="62"/>
    <cellStyle name="Title" xfId="63" builtinId="15" customBuiltin="1"/>
    <cellStyle name="Total" xfId="64" builtinId="25" customBuiltin="1"/>
    <cellStyle name="Warning Text" xfId="65" builtinId="11" customBuiltin="1"/>
    <cellStyle name="똿뗦먛귟 [0.00]_PRODUCT DETAIL Q1" xfId="66"/>
    <cellStyle name="똿뗦먛귟_PRODUCT DETAIL Q1" xfId="67"/>
    <cellStyle name="믅됞 [0.00]_PRODUCT DETAIL Q1" xfId="68"/>
    <cellStyle name="믅됞_PRODUCT DETAIL Q1" xfId="69"/>
    <cellStyle name="백분율_HOBONG" xfId="70"/>
    <cellStyle name="뷭?_BOOKSHIP" xfId="71"/>
    <cellStyle name="콤마 [0]_1202" xfId="72"/>
    <cellStyle name="콤마_1202" xfId="73"/>
    <cellStyle name="통화 [0]_1202" xfId="74"/>
    <cellStyle name="통화_1202" xfId="75"/>
    <cellStyle name="표준_(정보부문)월별인원계획" xfId="76"/>
  </cellStyles>
  <dxfs count="3">
    <dxf>
      <font>
        <b val="0"/>
        <i/>
        <condense val="0"/>
        <extend val="0"/>
        <color indexed="10"/>
      </font>
    </dxf>
    <dxf>
      <fill>
        <patternFill patternType="none">
          <bgColor indexed="65"/>
        </patternFill>
      </fill>
      <border>
        <left style="thin">
          <color indexed="64"/>
        </left>
        <right style="thin">
          <color indexed="64"/>
        </right>
        <top style="hair">
          <color indexed="64"/>
        </top>
        <bottom style="hair">
          <color indexed="64"/>
        </bottom>
      </border>
    </dxf>
    <dxf>
      <fill>
        <patternFill patternType="none">
          <bgColor indexed="65"/>
        </patternFill>
      </fill>
      <border>
        <left style="thin">
          <color indexed="64"/>
        </left>
        <right style="thin">
          <color indexed="64"/>
        </right>
        <top style="hair">
          <color indexed="64"/>
        </top>
        <bottom style="hair">
          <color indexed="64"/>
        </bottom>
      </border>
    </dxf>
  </dxfs>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31%20-%20331%20-%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K-SC%201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K-SC%20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Program%20Files\vnTools\Ufunctions.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31"/>
      <sheetName val="131-TH"/>
      <sheetName val="131-CT"/>
      <sheetName val="331"/>
      <sheetName val="331 - TH"/>
      <sheetName val="331-CT"/>
    </sheetNames>
    <sheetDataSet>
      <sheetData sheetId="0">
        <row r="5">
          <cell r="B5" t="str">
            <v>Cty TNHH DV XNK Hoàng Hải</v>
          </cell>
        </row>
      </sheetData>
      <sheetData sheetId="1"/>
      <sheetData sheetId="2"/>
      <sheetData sheetId="3">
        <row r="4">
          <cell r="B4" t="str">
            <v>DNTN SX TM XNK Khang Thịnh Phước</v>
          </cell>
        </row>
        <row r="5">
          <cell r="B5" t="str">
            <v>Cty TNHH Nhựa Duy Tân</v>
          </cell>
        </row>
        <row r="6">
          <cell r="B6" t="str">
            <v>Cty TNHH Tân Hải Việt</v>
          </cell>
        </row>
        <row r="7">
          <cell r="B7" t="str">
            <v>Cty TNHH MTV Muối Tân Thành</v>
          </cell>
        </row>
        <row r="8">
          <cell r="B8" t="str">
            <v>Cty TNHH TM DV Bao Bì Giấy Tân Minh Thư</v>
          </cell>
        </row>
        <row r="9">
          <cell r="B9" t="str">
            <v>Cty TNHH SX TM Nghị Hòa</v>
          </cell>
        </row>
        <row r="10">
          <cell r="B10" t="str">
            <v>Cty TNHH Tấn Dũng</v>
          </cell>
        </row>
        <row r="11">
          <cell r="B11" t="str">
            <v>Cty TNHH Bao Bì Nhựa Thành Phú</v>
          </cell>
        </row>
        <row r="12">
          <cell r="B12" t="str">
            <v>Cty TNHH Du Lịch và Thương Mại Thành Thành Phát</v>
          </cell>
        </row>
        <row r="13">
          <cell r="B13" t="str">
            <v>Cty TNHH Tân Hùng Thái</v>
          </cell>
        </row>
        <row r="14">
          <cell r="B14" t="str">
            <v>Công Ty TNHH In Và SX Bao Bì Đức Mỹ</v>
          </cell>
        </row>
        <row r="15">
          <cell r="B15" t="str">
            <v>Cty TNHH Hóa Chất Thành Phương</v>
          </cell>
        </row>
        <row r="16">
          <cell r="B16" t="str">
            <v>Nghĩa Thành Công</v>
          </cell>
        </row>
        <row r="17">
          <cell r="B17" t="str">
            <v>Cửa Hàng Xuân Thu</v>
          </cell>
        </row>
        <row r="18">
          <cell r="B18" t="str">
            <v>Cty TNHH Cơ Khí Nam Thành Công</v>
          </cell>
        </row>
        <row r="19">
          <cell r="B19" t="str">
            <v>Cty CP KD Thủy Hải Sản Sài Gòn</v>
          </cell>
        </row>
        <row r="20">
          <cell r="B20" t="str">
            <v>Cty TNHH TM DV Toàn Nguyễn</v>
          </cell>
        </row>
        <row r="21">
          <cell r="B21" t="str">
            <v>Cty CP Bảo Hiểm Viễn Đông (VASS)</v>
          </cell>
        </row>
        <row r="22">
          <cell r="B22" t="str">
            <v>Cty Bảo Minh Bến Tre</v>
          </cell>
        </row>
        <row r="23">
          <cell r="B23" t="str">
            <v>Trung Tâm Chất Lượng Nông Lâm Thủy Sản Vùng 4</v>
          </cell>
        </row>
        <row r="24">
          <cell r="B24" t="str">
            <v>Cty CP chiếu xạ An Phú</v>
          </cell>
        </row>
        <row r="25">
          <cell r="B25" t="str">
            <v>Trung Tâm Kỹ Thuật Tiêu Chuẩn Đo Lường Chất Lượng 3</v>
          </cell>
        </row>
        <row r="26">
          <cell r="B26" t="str">
            <v>Cty TNHH Tốc Độ</v>
          </cell>
        </row>
        <row r="27">
          <cell r="B27" t="str">
            <v>Cty CP Giao Nhận Vận Tải Song Tân</v>
          </cell>
        </row>
        <row r="28">
          <cell r="B28" t="str">
            <v>Cty TNHH Dịch Vụ Giao Nhận AAAS</v>
          </cell>
        </row>
        <row r="29">
          <cell r="B29" t="str">
            <v>Cty Điện Lực Long An</v>
          </cell>
        </row>
        <row r="30">
          <cell r="B30" t="str">
            <v>Cty TNHH Bảo Hiểm Liberty</v>
          </cell>
        </row>
        <row r="31">
          <cell r="B31" t="str">
            <v>Công Ty TNHH Cơ Khí Xây Dựng Đ &amp; T</v>
          </cell>
        </row>
        <row r="32">
          <cell r="B32" t="str">
            <v>Cty TNHH TM DV Công Nghệ Thông Tin G.O.L</v>
          </cell>
        </row>
        <row r="33">
          <cell r="B33" t="str">
            <v>Cty TNHH Dịch Vụ Hoàng Hải</v>
          </cell>
        </row>
        <row r="34">
          <cell r="B34" t="str">
            <v>Cty TNHH KMTC (Việt Nam)</v>
          </cell>
        </row>
        <row r="35">
          <cell r="B35" t="str">
            <v>DNTN Chín Tuy</v>
          </cell>
        </row>
        <row r="36">
          <cell r="B36" t="str">
            <v>Nguyễn Thị Hồng Hoa</v>
          </cell>
        </row>
        <row r="37">
          <cell r="B37" t="str">
            <v>Nguyễn Thành Phong</v>
          </cell>
        </row>
        <row r="38">
          <cell r="B38" t="str">
            <v>Nguyễn Văn Tha</v>
          </cell>
        </row>
        <row r="39">
          <cell r="B39" t="str">
            <v>Lý Thị Thảo</v>
          </cell>
        </row>
        <row r="40">
          <cell r="B40" t="str">
            <v>Nguyễn Thị Tuyết Đang</v>
          </cell>
        </row>
        <row r="41">
          <cell r="B41" t="str">
            <v>Võ Văn Thắng</v>
          </cell>
        </row>
        <row r="42">
          <cell r="B42" t="str">
            <v>Nguyễn Văn Phong</v>
          </cell>
        </row>
        <row r="43">
          <cell r="B43" t="str">
            <v>Lê Thị Diệu</v>
          </cell>
        </row>
        <row r="44">
          <cell r="B44" t="str">
            <v>Lê Thị Thiện Em</v>
          </cell>
        </row>
        <row r="45">
          <cell r="B45" t="str">
            <v>Trần Văn An</v>
          </cell>
        </row>
        <row r="46">
          <cell r="B46" t="str">
            <v>Nguyễn Thanh Bình</v>
          </cell>
        </row>
        <row r="47">
          <cell r="B47" t="str">
            <v>Nguyễn Thị Hội</v>
          </cell>
        </row>
        <row r="48">
          <cell r="B48" t="str">
            <v>Nguyễn Văn Hạnh</v>
          </cell>
        </row>
        <row r="49">
          <cell r="B49" t="str">
            <v>Trần Thị Thu Hiếu</v>
          </cell>
        </row>
        <row r="50">
          <cell r="B50" t="str">
            <v>Nguyễn Văn Nhân</v>
          </cell>
        </row>
        <row r="51">
          <cell r="B51" t="str">
            <v>Huỳnh Thị Kiều</v>
          </cell>
        </row>
        <row r="52">
          <cell r="B52" t="str">
            <v>Nguyễn Thị Kim Vân</v>
          </cell>
        </row>
        <row r="53">
          <cell r="B53" t="str">
            <v>Võ Thị Huyền</v>
          </cell>
        </row>
        <row r="54">
          <cell r="B54" t="str">
            <v>Nguyễn Thị Bé Hai</v>
          </cell>
        </row>
        <row r="55">
          <cell r="B55" t="str">
            <v>Lâm Thị Loan</v>
          </cell>
        </row>
        <row r="56">
          <cell r="B56" t="str">
            <v>Vũ Thị Lan</v>
          </cell>
        </row>
        <row r="57">
          <cell r="B57" t="str">
            <v>Trương Quốc Tuấn</v>
          </cell>
        </row>
        <row r="58">
          <cell r="B58" t="str">
            <v>Nguyễn Văn Hải</v>
          </cell>
        </row>
        <row r="59">
          <cell r="B59" t="str">
            <v>Nguyễn Văn Lắm</v>
          </cell>
        </row>
        <row r="60">
          <cell r="B60" t="str">
            <v>Lê Thị Kim Liên</v>
          </cell>
        </row>
        <row r="61">
          <cell r="B61" t="str">
            <v>Nguyễn Thị Mộng Tuyền</v>
          </cell>
        </row>
        <row r="62">
          <cell r="B62" t="str">
            <v>Đỗ Thị Hoàng Mai</v>
          </cell>
        </row>
        <row r="63">
          <cell r="B63" t="str">
            <v>Phạm Thị Chính</v>
          </cell>
        </row>
        <row r="64">
          <cell r="B64" t="str">
            <v>Trần Thị Lang</v>
          </cell>
        </row>
        <row r="65">
          <cell r="B65" t="str">
            <v>Lê Văn Thành</v>
          </cell>
        </row>
        <row r="66">
          <cell r="B66" t="str">
            <v>Lê Thị Kim Thanh</v>
          </cell>
        </row>
        <row r="67">
          <cell r="B67" t="str">
            <v>Võ Thị Bảy</v>
          </cell>
        </row>
        <row r="68">
          <cell r="B68" t="str">
            <v>Võ Văn Bá</v>
          </cell>
        </row>
        <row r="69">
          <cell r="B69" t="str">
            <v>Nguyễn Thanh Vân</v>
          </cell>
        </row>
        <row r="70">
          <cell r="B70" t="str">
            <v>Nguyễn Thanh Vinh</v>
          </cell>
        </row>
        <row r="71">
          <cell r="B71" t="str">
            <v>Hồ Thị Mỹ</v>
          </cell>
        </row>
        <row r="72">
          <cell r="B72" t="str">
            <v>Phạm Thị Ngọc</v>
          </cell>
        </row>
        <row r="73">
          <cell r="B73" t="str">
            <v>Nguyễn Đức Tiến</v>
          </cell>
        </row>
        <row r="74">
          <cell r="B74" t="str">
            <v>Đỗ Văn Tâm</v>
          </cell>
        </row>
        <row r="75">
          <cell r="B75" t="str">
            <v>Trương Văn Minh</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PS"/>
      <sheetName val="NK-SC"/>
      <sheetName val="01"/>
      <sheetName val="02"/>
      <sheetName val="03"/>
      <sheetName val="04"/>
      <sheetName val="05"/>
      <sheetName val="06"/>
      <sheetName val="07"/>
      <sheetName val="08"/>
      <sheetName val="09"/>
      <sheetName val="10"/>
      <sheetName val="11"/>
      <sheetName val="12"/>
      <sheetName val="CTTK"/>
    </sheetNames>
    <sheetDataSet>
      <sheetData sheetId="0">
        <row r="15">
          <cell r="E15">
            <v>17986847519</v>
          </cell>
        </row>
        <row r="21">
          <cell r="C21">
            <v>0</v>
          </cell>
        </row>
        <row r="22">
          <cell r="C22">
            <v>951049737</v>
          </cell>
        </row>
        <row r="26">
          <cell r="C26">
            <v>15905373962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PS"/>
      <sheetName val="NK-SC"/>
      <sheetName val="01"/>
      <sheetName val="02"/>
      <sheetName val="03"/>
      <sheetName val="04"/>
      <sheetName val="05"/>
      <sheetName val="06"/>
      <sheetName val="07"/>
      <sheetName val="08"/>
      <sheetName val="09"/>
      <sheetName val="10"/>
      <sheetName val="11"/>
      <sheetName val="12"/>
      <sheetName val="CTTK"/>
      <sheetName val="SO - TS"/>
      <sheetName val="THE-TS"/>
      <sheetName val="411"/>
      <sheetName val="Sheet1"/>
    </sheetNames>
    <sheetDataSet>
      <sheetData sheetId="0">
        <row r="21">
          <cell r="E21">
            <v>37348730000</v>
          </cell>
          <cell r="F21">
            <v>34576330000</v>
          </cell>
        </row>
        <row r="22">
          <cell r="E22">
            <v>1039355535</v>
          </cell>
          <cell r="F22">
            <v>1463885385</v>
          </cell>
        </row>
        <row r="26">
          <cell r="E26">
            <v>0</v>
          </cell>
          <cell r="F26">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Base"/>
      <sheetName val="vniBase"/>
      <sheetName val="abcBase"/>
    </sheetNames>
    <definedNames>
      <definedName name="VND"/>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28"/>
  </sheetPr>
  <dimension ref="A1:R111"/>
  <sheetViews>
    <sheetView topLeftCell="A8" workbookViewId="0">
      <pane ySplit="4" topLeftCell="A60" activePane="bottomLeft" state="frozen"/>
      <selection activeCell="A8" sqref="A8"/>
      <selection pane="bottomLeft" activeCell="A26" sqref="A26:XFD26"/>
    </sheetView>
  </sheetViews>
  <sheetFormatPr defaultRowHeight="12.75"/>
  <cols>
    <col min="1" max="1" width="3.7109375" style="35" customWidth="1"/>
    <col min="2" max="2" width="3.42578125" style="35" customWidth="1"/>
    <col min="3" max="3" width="28.28515625" style="35" customWidth="1"/>
    <col min="4" max="4" width="7.7109375" style="44" customWidth="1"/>
    <col min="5" max="5" width="9.42578125" style="42" customWidth="1"/>
    <col min="6" max="6" width="12.5703125" style="42" customWidth="1"/>
    <col min="7" max="7" width="9.85546875" style="40" customWidth="1"/>
    <col min="8" max="8" width="15.42578125" style="40" customWidth="1"/>
    <col min="9" max="9" width="11.7109375" style="40" customWidth="1"/>
    <col min="10" max="10" width="13.85546875" style="40" customWidth="1"/>
    <col min="11" max="11" width="12" style="40" customWidth="1"/>
    <col min="12" max="12" width="12.85546875" style="40" customWidth="1"/>
    <col min="13" max="13" width="3.28515625" style="452" customWidth="1"/>
    <col min="14" max="14" width="24.140625" style="35" customWidth="1"/>
    <col min="15" max="15" width="10.5703125" style="35" customWidth="1"/>
    <col min="16" max="16" width="10.42578125" style="35" customWidth="1"/>
    <col min="17" max="17" width="22.28515625" style="35" customWidth="1"/>
    <col min="18" max="18" width="4.85546875" style="35" customWidth="1"/>
    <col min="19" max="16384" width="9.140625" style="35"/>
  </cols>
  <sheetData>
    <row r="1" spans="1:18" s="6" customFormat="1" ht="14.25" customHeight="1">
      <c r="B1" s="193" t="s">
        <v>43</v>
      </c>
      <c r="C1" s="30"/>
      <c r="D1" s="30"/>
      <c r="E1" s="30"/>
      <c r="F1" s="31"/>
      <c r="G1" s="31"/>
      <c r="H1" s="492" t="s">
        <v>227</v>
      </c>
      <c r="I1" s="492"/>
      <c r="J1" s="492"/>
      <c r="K1" s="492"/>
      <c r="L1" s="492"/>
      <c r="M1" s="447"/>
      <c r="N1" s="195"/>
      <c r="O1" s="5"/>
    </row>
    <row r="2" spans="1:18" s="6" customFormat="1" ht="14.25" customHeight="1">
      <c r="B2" s="194" t="s">
        <v>45</v>
      </c>
      <c r="C2" s="32"/>
      <c r="D2" s="32"/>
      <c r="E2" s="32"/>
      <c r="F2" s="32"/>
      <c r="G2" s="32"/>
      <c r="H2" s="493" t="s">
        <v>133</v>
      </c>
      <c r="I2" s="493"/>
      <c r="J2" s="493"/>
      <c r="K2" s="493"/>
      <c r="L2" s="493"/>
      <c r="M2" s="448"/>
      <c r="N2" s="197"/>
      <c r="O2" s="7"/>
    </row>
    <row r="3" spans="1:18" s="6" customFormat="1" ht="14.25" customHeight="1">
      <c r="B3" s="32"/>
      <c r="C3" s="32"/>
      <c r="D3" s="32"/>
      <c r="E3" s="32"/>
      <c r="F3" s="32"/>
      <c r="G3" s="32"/>
      <c r="H3" s="494" t="s">
        <v>228</v>
      </c>
      <c r="I3" s="494"/>
      <c r="J3" s="494"/>
      <c r="K3" s="494"/>
      <c r="L3" s="494"/>
      <c r="M3" s="449"/>
      <c r="N3" s="196"/>
      <c r="O3" s="7"/>
    </row>
    <row r="4" spans="1:18" s="4" customFormat="1" ht="27.75" customHeight="1">
      <c r="B4" s="496" t="s">
        <v>29</v>
      </c>
      <c r="C4" s="496"/>
      <c r="D4" s="496"/>
      <c r="E4" s="496"/>
      <c r="F4" s="496"/>
      <c r="G4" s="496"/>
      <c r="H4" s="496"/>
      <c r="I4" s="496"/>
      <c r="J4" s="496"/>
      <c r="K4" s="496"/>
      <c r="L4" s="496"/>
      <c r="M4" s="450"/>
    </row>
    <row r="5" spans="1:18" s="4" customFormat="1" ht="15" customHeight="1">
      <c r="B5" s="497" t="s">
        <v>73</v>
      </c>
      <c r="C5" s="497"/>
      <c r="D5" s="497"/>
      <c r="E5" s="497"/>
      <c r="F5" s="497"/>
      <c r="G5" s="497"/>
      <c r="H5" s="497"/>
      <c r="I5" s="497"/>
      <c r="J5" s="497"/>
      <c r="K5" s="497"/>
      <c r="L5" s="497"/>
      <c r="M5" s="450"/>
    </row>
    <row r="6" spans="1:18" s="4" customFormat="1" ht="12.75" hidden="1" customHeight="1">
      <c r="B6" s="497" t="s">
        <v>74</v>
      </c>
      <c r="C6" s="497"/>
      <c r="D6" s="497"/>
      <c r="E6" s="497"/>
      <c r="F6" s="497"/>
      <c r="G6" s="497"/>
      <c r="H6" s="497"/>
      <c r="I6" s="497"/>
      <c r="J6" s="497"/>
      <c r="K6" s="497"/>
      <c r="L6" s="497"/>
      <c r="M6" s="450"/>
    </row>
    <row r="7" spans="1:18" s="33" customFormat="1" ht="24" hidden="1" customHeight="1">
      <c r="C7" s="495" t="s">
        <v>72</v>
      </c>
      <c r="D7" s="495"/>
      <c r="E7" s="495"/>
      <c r="F7" s="495"/>
      <c r="G7" s="495"/>
      <c r="H7" s="495"/>
      <c r="I7" s="495"/>
      <c r="J7" s="495"/>
      <c r="K7" s="495"/>
      <c r="L7" s="495"/>
      <c r="M7" s="451"/>
    </row>
    <row r="8" spans="1:18" ht="20.25" customHeight="1">
      <c r="B8" s="486" t="s">
        <v>30</v>
      </c>
      <c r="C8" s="488" t="s">
        <v>31</v>
      </c>
      <c r="D8" s="489" t="s">
        <v>91</v>
      </c>
      <c r="E8" s="491" t="s">
        <v>32</v>
      </c>
      <c r="F8" s="491"/>
      <c r="G8" s="491"/>
      <c r="H8" s="491"/>
      <c r="I8" s="491"/>
      <c r="J8" s="491"/>
      <c r="K8" s="491"/>
      <c r="L8" s="491"/>
      <c r="N8" s="498" t="s">
        <v>158</v>
      </c>
      <c r="O8" s="498" t="s">
        <v>388</v>
      </c>
      <c r="P8" s="498" t="s">
        <v>282</v>
      </c>
      <c r="Q8" s="498" t="s">
        <v>283</v>
      </c>
      <c r="R8" s="498"/>
    </row>
    <row r="9" spans="1:18" ht="20.25" customHeight="1">
      <c r="B9" s="486"/>
      <c r="C9" s="488"/>
      <c r="D9" s="490"/>
      <c r="E9" s="491" t="s">
        <v>35</v>
      </c>
      <c r="F9" s="491"/>
      <c r="G9" s="487" t="s">
        <v>36</v>
      </c>
      <c r="H9" s="487"/>
      <c r="I9" s="487" t="s">
        <v>33</v>
      </c>
      <c r="J9" s="487"/>
      <c r="K9" s="487" t="s">
        <v>34</v>
      </c>
      <c r="L9" s="487"/>
      <c r="N9" s="499"/>
      <c r="O9" s="499"/>
      <c r="P9" s="499"/>
      <c r="Q9" s="499"/>
      <c r="R9" s="499"/>
    </row>
    <row r="10" spans="1:18" ht="20.25" hidden="1" customHeight="1">
      <c r="B10" s="486"/>
      <c r="C10" s="488"/>
      <c r="D10" s="34"/>
      <c r="E10" s="43" t="s">
        <v>64</v>
      </c>
      <c r="F10" s="43" t="s">
        <v>65</v>
      </c>
      <c r="G10" s="43" t="s">
        <v>64</v>
      </c>
      <c r="H10" s="43" t="s">
        <v>65</v>
      </c>
      <c r="I10" s="43" t="s">
        <v>64</v>
      </c>
      <c r="J10" s="43" t="s">
        <v>65</v>
      </c>
      <c r="K10" s="43" t="s">
        <v>64</v>
      </c>
      <c r="L10" s="43" t="s">
        <v>65</v>
      </c>
      <c r="N10" s="500"/>
      <c r="O10" s="500"/>
      <c r="P10" s="500"/>
      <c r="Q10" s="500"/>
      <c r="R10" s="500"/>
    </row>
    <row r="11" spans="1:18" s="44" customFormat="1">
      <c r="B11" s="45" t="s">
        <v>13</v>
      </c>
      <c r="C11" s="34" t="s">
        <v>14</v>
      </c>
      <c r="D11" s="34"/>
      <c r="E11" s="43">
        <v>1</v>
      </c>
      <c r="F11" s="43">
        <v>1</v>
      </c>
      <c r="G11" s="43">
        <v>2</v>
      </c>
      <c r="H11" s="43">
        <v>2</v>
      </c>
      <c r="I11" s="43">
        <v>3</v>
      </c>
      <c r="J11" s="43">
        <v>3</v>
      </c>
      <c r="K11" s="43">
        <v>4</v>
      </c>
      <c r="L11" s="43">
        <v>4</v>
      </c>
      <c r="M11" s="453"/>
      <c r="N11" s="84"/>
      <c r="O11" s="84"/>
      <c r="P11" s="84"/>
      <c r="Q11" s="84"/>
      <c r="R11" s="84"/>
    </row>
    <row r="12" spans="1:18" ht="18" customHeight="1">
      <c r="A12" s="40" t="str">
        <f>IF(B12&lt;&gt;"","VL","")</f>
        <v>VL</v>
      </c>
      <c r="B12" s="87">
        <f>IF(C12&lt;&gt;"",ROW()-(ROW()-1),"")</f>
        <v>1</v>
      </c>
      <c r="C12" s="41" t="s">
        <v>39</v>
      </c>
      <c r="D12" s="50" t="s">
        <v>37</v>
      </c>
      <c r="E12" s="46">
        <v>2250</v>
      </c>
      <c r="F12" s="46">
        <v>72182000</v>
      </c>
      <c r="G12" s="46">
        <f>SUMIF(DSNX1,$C12,DSNX2)</f>
        <v>0</v>
      </c>
      <c r="H12" s="46">
        <f t="shared" ref="H12:H32" si="0">SUMIF(DSNX1,$C12,DSNX5)</f>
        <v>0</v>
      </c>
      <c r="I12" s="46">
        <f t="shared" ref="I12:I32" si="1">SUMIF(DSNX1,$C12,DSNX3)</f>
        <v>1800</v>
      </c>
      <c r="J12" s="46">
        <f t="shared" ref="J12:J32" si="2">SUMIF(DSNX1,$C12,DSNX4)</f>
        <v>56232000</v>
      </c>
      <c r="K12" s="46">
        <f t="shared" ref="K12:K25" si="3">E12+G12-I12</f>
        <v>450</v>
      </c>
      <c r="L12" s="46">
        <f t="shared" ref="L12:L25" si="4">F12+H12-J12</f>
        <v>15950000</v>
      </c>
      <c r="M12" s="454" t="str">
        <f>IF(N12&lt;&gt;"","NL","")</f>
        <v>NL</v>
      </c>
      <c r="N12" s="86" t="s">
        <v>168</v>
      </c>
      <c r="O12" s="41" t="s">
        <v>198</v>
      </c>
      <c r="P12" s="233">
        <v>320744085</v>
      </c>
      <c r="Q12" s="233" t="s">
        <v>284</v>
      </c>
      <c r="R12" s="233" t="s">
        <v>320</v>
      </c>
    </row>
    <row r="13" spans="1:18" ht="18" customHeight="1">
      <c r="A13" s="40" t="str">
        <f t="shared" ref="A13:A56" si="5">IF(B13&lt;&gt;"","VL","")</f>
        <v>VL</v>
      </c>
      <c r="B13" s="87">
        <f>IF(C13&lt;&gt;"",B12+1,"")</f>
        <v>2</v>
      </c>
      <c r="C13" s="37" t="s">
        <v>49</v>
      </c>
      <c r="D13" s="51" t="s">
        <v>37</v>
      </c>
      <c r="E13" s="38">
        <v>2000</v>
      </c>
      <c r="F13" s="38">
        <v>93482400</v>
      </c>
      <c r="G13" s="46">
        <f t="shared" ref="G13:G32" si="6">SUMIF(DSNX1,$C13,DSNX2)</f>
        <v>0</v>
      </c>
      <c r="H13" s="46">
        <f t="shared" si="0"/>
        <v>0</v>
      </c>
      <c r="I13" s="46">
        <f t="shared" si="1"/>
        <v>1475</v>
      </c>
      <c r="J13" s="46">
        <f t="shared" si="2"/>
        <v>68943270</v>
      </c>
      <c r="K13" s="38">
        <f t="shared" si="3"/>
        <v>525</v>
      </c>
      <c r="L13" s="38">
        <f t="shared" si="4"/>
        <v>24539130</v>
      </c>
      <c r="M13" s="454" t="str">
        <f t="shared" ref="M13:M58" si="7">IF(N13&lt;&gt;"","NL","")</f>
        <v>NL</v>
      </c>
      <c r="N13" s="37" t="s">
        <v>169</v>
      </c>
      <c r="O13" s="233" t="s">
        <v>198</v>
      </c>
      <c r="P13" s="233">
        <v>320775664</v>
      </c>
      <c r="Q13" s="233" t="s">
        <v>284</v>
      </c>
      <c r="R13" s="233" t="s">
        <v>320</v>
      </c>
    </row>
    <row r="14" spans="1:18" ht="18" customHeight="1">
      <c r="A14" s="40" t="str">
        <f t="shared" si="5"/>
        <v>VL</v>
      </c>
      <c r="B14" s="87">
        <f t="shared" ref="B14:B53" si="8">IF(C14&lt;&gt;"",B13+1,"")</f>
        <v>3</v>
      </c>
      <c r="C14" s="37" t="s">
        <v>40</v>
      </c>
      <c r="D14" s="51" t="s">
        <v>37</v>
      </c>
      <c r="E14" s="38">
        <v>1000</v>
      </c>
      <c r="F14" s="38">
        <v>11666667</v>
      </c>
      <c r="G14" s="46">
        <f t="shared" si="6"/>
        <v>1000</v>
      </c>
      <c r="H14" s="46">
        <f t="shared" si="0"/>
        <v>11666667</v>
      </c>
      <c r="I14" s="46">
        <f t="shared" si="1"/>
        <v>1700</v>
      </c>
      <c r="J14" s="46">
        <f t="shared" si="2"/>
        <v>19833332</v>
      </c>
      <c r="K14" s="38">
        <f t="shared" si="3"/>
        <v>300</v>
      </c>
      <c r="L14" s="38">
        <f t="shared" si="4"/>
        <v>3500002</v>
      </c>
      <c r="M14" s="454" t="str">
        <f t="shared" si="7"/>
        <v>NL</v>
      </c>
      <c r="N14" s="37" t="s">
        <v>170</v>
      </c>
      <c r="O14" s="180" t="s">
        <v>198</v>
      </c>
      <c r="P14" s="233">
        <v>320807672</v>
      </c>
      <c r="Q14" s="233" t="s">
        <v>284</v>
      </c>
      <c r="R14" s="233" t="s">
        <v>320</v>
      </c>
    </row>
    <row r="15" spans="1:18" ht="18" customHeight="1">
      <c r="A15" s="40" t="str">
        <f t="shared" si="5"/>
        <v>VL</v>
      </c>
      <c r="B15" s="87">
        <f t="shared" si="8"/>
        <v>4</v>
      </c>
      <c r="C15" s="37" t="s">
        <v>66</v>
      </c>
      <c r="D15" s="51" t="s">
        <v>37</v>
      </c>
      <c r="E15" s="38">
        <v>450</v>
      </c>
      <c r="F15" s="38">
        <v>10627272</v>
      </c>
      <c r="G15" s="46">
        <f t="shared" si="6"/>
        <v>1350</v>
      </c>
      <c r="H15" s="46">
        <f t="shared" si="0"/>
        <v>28407268</v>
      </c>
      <c r="I15" s="46">
        <f t="shared" si="1"/>
        <v>1305</v>
      </c>
      <c r="J15" s="46">
        <f t="shared" si="2"/>
        <v>28154543</v>
      </c>
      <c r="K15" s="38">
        <f t="shared" si="3"/>
        <v>495</v>
      </c>
      <c r="L15" s="38">
        <f t="shared" si="4"/>
        <v>10879997</v>
      </c>
      <c r="M15" s="454" t="str">
        <f t="shared" si="7"/>
        <v>NL</v>
      </c>
      <c r="N15" s="37" t="s">
        <v>171</v>
      </c>
      <c r="O15" s="180" t="s">
        <v>198</v>
      </c>
      <c r="P15" s="233">
        <v>320881573</v>
      </c>
      <c r="Q15" s="233" t="s">
        <v>284</v>
      </c>
      <c r="R15" s="233" t="s">
        <v>320</v>
      </c>
    </row>
    <row r="16" spans="1:18" ht="18" customHeight="1">
      <c r="A16" s="40" t="str">
        <f t="shared" si="5"/>
        <v>VL</v>
      </c>
      <c r="B16" s="87">
        <f t="shared" si="8"/>
        <v>5</v>
      </c>
      <c r="C16" s="37" t="s">
        <v>41</v>
      </c>
      <c r="D16" s="51" t="s">
        <v>37</v>
      </c>
      <c r="E16" s="38">
        <v>2350</v>
      </c>
      <c r="F16" s="38">
        <v>8225000</v>
      </c>
      <c r="G16" s="46">
        <f t="shared" si="6"/>
        <v>0</v>
      </c>
      <c r="H16" s="46">
        <f t="shared" si="0"/>
        <v>0</v>
      </c>
      <c r="I16" s="46">
        <f t="shared" si="1"/>
        <v>2300</v>
      </c>
      <c r="J16" s="46">
        <f t="shared" si="2"/>
        <v>8050000</v>
      </c>
      <c r="K16" s="38">
        <f t="shared" si="3"/>
        <v>50</v>
      </c>
      <c r="L16" s="38">
        <f t="shared" si="4"/>
        <v>175000</v>
      </c>
      <c r="M16" s="454" t="str">
        <f t="shared" si="7"/>
        <v>NL</v>
      </c>
      <c r="N16" s="37" t="s">
        <v>172</v>
      </c>
      <c r="O16" s="180" t="s">
        <v>198</v>
      </c>
      <c r="P16" s="233">
        <v>320883374</v>
      </c>
      <c r="Q16" s="233" t="s">
        <v>284</v>
      </c>
      <c r="R16" s="233" t="s">
        <v>320</v>
      </c>
    </row>
    <row r="17" spans="1:18" ht="18" customHeight="1">
      <c r="A17" s="40" t="str">
        <f t="shared" si="5"/>
        <v>VL</v>
      </c>
      <c r="B17" s="87">
        <f t="shared" si="8"/>
        <v>6</v>
      </c>
      <c r="C17" s="37" t="s">
        <v>108</v>
      </c>
      <c r="D17" s="52" t="s">
        <v>37</v>
      </c>
      <c r="E17" s="38">
        <v>3991</v>
      </c>
      <c r="F17" s="38">
        <v>11973000</v>
      </c>
      <c r="G17" s="46">
        <f t="shared" si="6"/>
        <v>0</v>
      </c>
      <c r="H17" s="46">
        <f t="shared" si="0"/>
        <v>0</v>
      </c>
      <c r="I17" s="46">
        <f t="shared" si="1"/>
        <v>3991</v>
      </c>
      <c r="J17" s="46">
        <f t="shared" si="2"/>
        <v>11973000</v>
      </c>
      <c r="K17" s="38">
        <f t="shared" si="3"/>
        <v>0</v>
      </c>
      <c r="L17" s="38">
        <f t="shared" si="4"/>
        <v>0</v>
      </c>
      <c r="M17" s="454" t="str">
        <f t="shared" si="7"/>
        <v>NL</v>
      </c>
      <c r="N17" s="37" t="s">
        <v>167</v>
      </c>
      <c r="O17" s="180" t="s">
        <v>198</v>
      </c>
      <c r="P17" s="233">
        <v>320044169</v>
      </c>
      <c r="Q17" s="233" t="s">
        <v>284</v>
      </c>
      <c r="R17" s="233" t="s">
        <v>320</v>
      </c>
    </row>
    <row r="18" spans="1:18" ht="18" customHeight="1">
      <c r="A18" s="40" t="str">
        <f t="shared" si="5"/>
        <v>VL</v>
      </c>
      <c r="B18" s="87">
        <f t="shared" si="8"/>
        <v>7</v>
      </c>
      <c r="C18" s="37" t="s">
        <v>109</v>
      </c>
      <c r="D18" s="52" t="s">
        <v>37</v>
      </c>
      <c r="E18" s="38">
        <v>960</v>
      </c>
      <c r="F18" s="38">
        <v>5280000</v>
      </c>
      <c r="G18" s="46">
        <f t="shared" si="6"/>
        <v>0</v>
      </c>
      <c r="H18" s="46">
        <f t="shared" si="0"/>
        <v>0</v>
      </c>
      <c r="I18" s="46">
        <f t="shared" si="1"/>
        <v>960</v>
      </c>
      <c r="J18" s="46">
        <f t="shared" si="2"/>
        <v>5280000</v>
      </c>
      <c r="K18" s="38">
        <f t="shared" si="3"/>
        <v>0</v>
      </c>
      <c r="L18" s="38">
        <f t="shared" si="4"/>
        <v>0</v>
      </c>
      <c r="M18" s="454" t="str">
        <f t="shared" si="7"/>
        <v>NL</v>
      </c>
      <c r="N18" s="37" t="s">
        <v>173</v>
      </c>
      <c r="O18" s="180" t="s">
        <v>198</v>
      </c>
      <c r="P18" s="233">
        <v>320892558</v>
      </c>
      <c r="Q18" s="233" t="s">
        <v>284</v>
      </c>
      <c r="R18" s="233" t="s">
        <v>320</v>
      </c>
    </row>
    <row r="19" spans="1:18" ht="18" customHeight="1">
      <c r="A19" s="40" t="str">
        <f t="shared" si="5"/>
        <v>VL</v>
      </c>
      <c r="B19" s="87">
        <f t="shared" si="8"/>
        <v>8</v>
      </c>
      <c r="C19" s="426" t="s">
        <v>110</v>
      </c>
      <c r="D19" s="439" t="s">
        <v>37</v>
      </c>
      <c r="E19" s="428">
        <v>10483</v>
      </c>
      <c r="F19" s="428">
        <v>88742200</v>
      </c>
      <c r="G19" s="429">
        <f t="shared" si="6"/>
        <v>12150</v>
      </c>
      <c r="H19" s="429">
        <f t="shared" si="0"/>
        <v>176702850</v>
      </c>
      <c r="I19" s="429">
        <f t="shared" si="1"/>
        <v>17233</v>
      </c>
      <c r="J19" s="429">
        <f t="shared" si="2"/>
        <v>184985051</v>
      </c>
      <c r="K19" s="428">
        <f t="shared" si="3"/>
        <v>5400</v>
      </c>
      <c r="L19" s="428">
        <f t="shared" si="4"/>
        <v>80459999</v>
      </c>
      <c r="M19" s="454" t="str">
        <f t="shared" si="7"/>
        <v>NL</v>
      </c>
      <c r="N19" s="37" t="s">
        <v>174</v>
      </c>
      <c r="O19" s="180" t="s">
        <v>199</v>
      </c>
      <c r="P19" s="233">
        <v>250746332</v>
      </c>
      <c r="Q19" s="233" t="s">
        <v>285</v>
      </c>
      <c r="R19" s="233" t="s">
        <v>320</v>
      </c>
    </row>
    <row r="20" spans="1:18" ht="18" customHeight="1">
      <c r="A20" s="40" t="str">
        <f t="shared" si="5"/>
        <v>VL</v>
      </c>
      <c r="B20" s="87">
        <f t="shared" si="8"/>
        <v>9</v>
      </c>
      <c r="C20" s="426" t="s">
        <v>38</v>
      </c>
      <c r="D20" s="427" t="s">
        <v>88</v>
      </c>
      <c r="E20" s="428">
        <v>450</v>
      </c>
      <c r="F20" s="428">
        <v>3915000</v>
      </c>
      <c r="G20" s="429">
        <f t="shared" si="6"/>
        <v>2400</v>
      </c>
      <c r="H20" s="429">
        <f t="shared" si="0"/>
        <v>20400000</v>
      </c>
      <c r="I20" s="429">
        <f t="shared" si="1"/>
        <v>1900</v>
      </c>
      <c r="J20" s="429">
        <f t="shared" si="2"/>
        <v>16240000</v>
      </c>
      <c r="K20" s="428">
        <f t="shared" si="3"/>
        <v>950</v>
      </c>
      <c r="L20" s="428">
        <f t="shared" si="4"/>
        <v>8075000</v>
      </c>
      <c r="M20" s="454" t="str">
        <f t="shared" si="7"/>
        <v>NL</v>
      </c>
      <c r="N20" s="37" t="s">
        <v>175</v>
      </c>
      <c r="O20" s="180" t="s">
        <v>199</v>
      </c>
      <c r="P20" s="233">
        <v>260682094</v>
      </c>
      <c r="Q20" s="233" t="s">
        <v>285</v>
      </c>
      <c r="R20" s="233" t="s">
        <v>320</v>
      </c>
    </row>
    <row r="21" spans="1:18" ht="18" customHeight="1">
      <c r="A21" s="40" t="str">
        <f t="shared" si="5"/>
        <v>VL</v>
      </c>
      <c r="B21" s="87">
        <f t="shared" si="8"/>
        <v>10</v>
      </c>
      <c r="C21" s="426" t="s">
        <v>128</v>
      </c>
      <c r="D21" s="427" t="s">
        <v>89</v>
      </c>
      <c r="E21" s="428">
        <v>0</v>
      </c>
      <c r="F21" s="428">
        <v>0</v>
      </c>
      <c r="G21" s="429">
        <f t="shared" si="6"/>
        <v>20500</v>
      </c>
      <c r="H21" s="429">
        <f t="shared" si="0"/>
        <v>7790000</v>
      </c>
      <c r="I21" s="429">
        <f t="shared" si="1"/>
        <v>20500</v>
      </c>
      <c r="J21" s="429">
        <f t="shared" si="2"/>
        <v>7790000</v>
      </c>
      <c r="K21" s="428">
        <f t="shared" si="3"/>
        <v>0</v>
      </c>
      <c r="L21" s="428">
        <f t="shared" si="4"/>
        <v>0</v>
      </c>
      <c r="M21" s="454" t="str">
        <f t="shared" si="7"/>
        <v>NL</v>
      </c>
      <c r="N21" s="37" t="s">
        <v>176</v>
      </c>
      <c r="O21" s="180" t="s">
        <v>199</v>
      </c>
      <c r="P21" s="233">
        <v>260690910</v>
      </c>
      <c r="Q21" s="233" t="s">
        <v>286</v>
      </c>
      <c r="R21" s="233" t="s">
        <v>320</v>
      </c>
    </row>
    <row r="22" spans="1:18" ht="18" customHeight="1">
      <c r="A22" s="40" t="str">
        <f t="shared" si="5"/>
        <v>VL</v>
      </c>
      <c r="B22" s="87">
        <f t="shared" si="8"/>
        <v>11</v>
      </c>
      <c r="C22" s="426" t="s">
        <v>59</v>
      </c>
      <c r="D22" s="427" t="s">
        <v>112</v>
      </c>
      <c r="E22" s="428">
        <v>170</v>
      </c>
      <c r="F22" s="428">
        <v>3256180</v>
      </c>
      <c r="G22" s="429">
        <f t="shared" si="6"/>
        <v>0</v>
      </c>
      <c r="H22" s="429">
        <f t="shared" si="0"/>
        <v>0</v>
      </c>
      <c r="I22" s="429">
        <f t="shared" si="1"/>
        <v>170</v>
      </c>
      <c r="J22" s="429">
        <f t="shared" si="2"/>
        <v>3256180</v>
      </c>
      <c r="K22" s="428">
        <f t="shared" si="3"/>
        <v>0</v>
      </c>
      <c r="L22" s="428">
        <f t="shared" si="4"/>
        <v>0</v>
      </c>
      <c r="M22" s="454" t="str">
        <f t="shared" si="7"/>
        <v>NL</v>
      </c>
      <c r="N22" s="37" t="s">
        <v>178</v>
      </c>
      <c r="O22" s="180" t="s">
        <v>199</v>
      </c>
      <c r="P22" s="233">
        <v>260178873</v>
      </c>
      <c r="Q22" s="233" t="s">
        <v>287</v>
      </c>
      <c r="R22" s="233" t="s">
        <v>320</v>
      </c>
    </row>
    <row r="23" spans="1:18" ht="18" customHeight="1">
      <c r="A23" s="40" t="str">
        <f t="shared" si="5"/>
        <v>VL</v>
      </c>
      <c r="B23" s="87">
        <f t="shared" si="8"/>
        <v>12</v>
      </c>
      <c r="C23" s="426" t="s">
        <v>123</v>
      </c>
      <c r="D23" s="427" t="s">
        <v>112</v>
      </c>
      <c r="E23" s="428">
        <v>0</v>
      </c>
      <c r="F23" s="428">
        <v>0</v>
      </c>
      <c r="G23" s="429">
        <f t="shared" si="6"/>
        <v>290</v>
      </c>
      <c r="H23" s="429">
        <f t="shared" si="0"/>
        <v>10285660</v>
      </c>
      <c r="I23" s="429">
        <f t="shared" si="1"/>
        <v>290</v>
      </c>
      <c r="J23" s="429">
        <f t="shared" si="2"/>
        <v>10285660</v>
      </c>
      <c r="K23" s="428">
        <f t="shared" si="3"/>
        <v>0</v>
      </c>
      <c r="L23" s="428">
        <f t="shared" si="4"/>
        <v>0</v>
      </c>
      <c r="M23" s="454" t="str">
        <f t="shared" si="7"/>
        <v>NL</v>
      </c>
      <c r="N23" s="37" t="s">
        <v>177</v>
      </c>
      <c r="O23" s="180" t="s">
        <v>199</v>
      </c>
      <c r="P23" s="234" t="s">
        <v>288</v>
      </c>
      <c r="Q23" s="233" t="s">
        <v>289</v>
      </c>
      <c r="R23" s="233" t="s">
        <v>320</v>
      </c>
    </row>
    <row r="24" spans="1:18" ht="18" customHeight="1">
      <c r="A24" s="40" t="str">
        <f t="shared" si="5"/>
        <v>VL</v>
      </c>
      <c r="B24" s="87">
        <f t="shared" si="8"/>
        <v>13</v>
      </c>
      <c r="C24" s="440" t="s">
        <v>54</v>
      </c>
      <c r="D24" s="439" t="s">
        <v>37</v>
      </c>
      <c r="E24" s="428">
        <v>39246.699999999997</v>
      </c>
      <c r="F24" s="428">
        <v>12678678</v>
      </c>
      <c r="G24" s="429">
        <f t="shared" si="6"/>
        <v>0</v>
      </c>
      <c r="H24" s="429">
        <f t="shared" si="0"/>
        <v>0</v>
      </c>
      <c r="I24" s="429">
        <f t="shared" si="1"/>
        <v>37600</v>
      </c>
      <c r="J24" s="429">
        <f t="shared" si="2"/>
        <v>12146709</v>
      </c>
      <c r="K24" s="428">
        <f t="shared" si="3"/>
        <v>1646.6999999999971</v>
      </c>
      <c r="L24" s="428">
        <f t="shared" si="4"/>
        <v>531969</v>
      </c>
      <c r="M24" s="454" t="str">
        <f t="shared" si="7"/>
        <v>NL</v>
      </c>
      <c r="N24" s="37" t="s">
        <v>179</v>
      </c>
      <c r="O24" s="180" t="s">
        <v>199</v>
      </c>
      <c r="P24" s="233">
        <v>260850613</v>
      </c>
      <c r="Q24" s="233" t="s">
        <v>287</v>
      </c>
      <c r="R24" s="233" t="s">
        <v>320</v>
      </c>
    </row>
    <row r="25" spans="1:18" ht="18" customHeight="1">
      <c r="A25" s="40" t="str">
        <f t="shared" si="5"/>
        <v>VL</v>
      </c>
      <c r="B25" s="87">
        <f t="shared" si="8"/>
        <v>14</v>
      </c>
      <c r="C25" s="426" t="s">
        <v>107</v>
      </c>
      <c r="D25" s="439" t="s">
        <v>37</v>
      </c>
      <c r="E25" s="428">
        <v>930</v>
      </c>
      <c r="F25" s="428">
        <v>13950000</v>
      </c>
      <c r="G25" s="429">
        <f t="shared" si="6"/>
        <v>0</v>
      </c>
      <c r="H25" s="429">
        <f t="shared" si="0"/>
        <v>0</v>
      </c>
      <c r="I25" s="429">
        <f t="shared" si="1"/>
        <v>930</v>
      </c>
      <c r="J25" s="429">
        <f t="shared" si="2"/>
        <v>13950000</v>
      </c>
      <c r="K25" s="428">
        <f t="shared" si="3"/>
        <v>0</v>
      </c>
      <c r="L25" s="428">
        <f t="shared" si="4"/>
        <v>0</v>
      </c>
      <c r="M25" s="454" t="str">
        <f t="shared" si="7"/>
        <v>NL</v>
      </c>
      <c r="N25" s="37" t="s">
        <v>180</v>
      </c>
      <c r="O25" s="180" t="s">
        <v>199</v>
      </c>
      <c r="P25" s="233">
        <v>280853616</v>
      </c>
      <c r="Q25" s="233" t="s">
        <v>287</v>
      </c>
      <c r="R25" s="233" t="s">
        <v>320</v>
      </c>
    </row>
    <row r="26" spans="1:18" ht="18" customHeight="1">
      <c r="A26" s="40" t="str">
        <f t="shared" ref="A26" si="9">IF(B26&lt;&gt;"","VL","")</f>
        <v>VL</v>
      </c>
      <c r="B26" s="87">
        <f t="shared" ref="B26:B38" si="10">IF(C26&lt;&gt;"",B25+1,"")</f>
        <v>15</v>
      </c>
      <c r="C26" s="434" t="s">
        <v>105</v>
      </c>
      <c r="D26" s="435" t="s">
        <v>90</v>
      </c>
      <c r="E26" s="436">
        <v>605050</v>
      </c>
      <c r="F26" s="436">
        <v>122537750</v>
      </c>
      <c r="G26" s="437">
        <f t="shared" si="6"/>
        <v>231600</v>
      </c>
      <c r="H26" s="437">
        <f t="shared" si="0"/>
        <v>80792000</v>
      </c>
      <c r="I26" s="437">
        <f t="shared" si="1"/>
        <v>742850</v>
      </c>
      <c r="J26" s="437">
        <f t="shared" si="2"/>
        <v>175189750</v>
      </c>
      <c r="K26" s="436">
        <f t="shared" ref="K26:K52" si="11">E26+G26-I26</f>
        <v>93800</v>
      </c>
      <c r="L26" s="436">
        <f t="shared" ref="L26:L52" si="12">F26+H26-J26</f>
        <v>28140000</v>
      </c>
      <c r="M26" s="454" t="str">
        <f t="shared" si="7"/>
        <v>NL</v>
      </c>
      <c r="N26" s="37" t="s">
        <v>181</v>
      </c>
      <c r="O26" s="180" t="s">
        <v>199</v>
      </c>
      <c r="P26" s="233">
        <v>261005222</v>
      </c>
      <c r="Q26" s="233" t="s">
        <v>290</v>
      </c>
      <c r="R26" s="233" t="s">
        <v>320</v>
      </c>
    </row>
    <row r="27" spans="1:18" ht="18" customHeight="1">
      <c r="A27" s="40" t="str">
        <f t="shared" si="5"/>
        <v>VL</v>
      </c>
      <c r="B27" s="87">
        <f t="shared" si="8"/>
        <v>16</v>
      </c>
      <c r="C27" s="438" t="s">
        <v>106</v>
      </c>
      <c r="D27" s="435" t="s">
        <v>90</v>
      </c>
      <c r="E27" s="436">
        <v>98500</v>
      </c>
      <c r="F27" s="436">
        <v>67938900</v>
      </c>
      <c r="G27" s="437">
        <f t="shared" si="6"/>
        <v>139190</v>
      </c>
      <c r="H27" s="437">
        <f t="shared" si="0"/>
        <v>80918100</v>
      </c>
      <c r="I27" s="437">
        <f t="shared" si="1"/>
        <v>188990</v>
      </c>
      <c r="J27" s="437">
        <f t="shared" si="2"/>
        <v>129377000</v>
      </c>
      <c r="K27" s="436">
        <f t="shared" si="11"/>
        <v>48700</v>
      </c>
      <c r="L27" s="436">
        <f t="shared" si="12"/>
        <v>19480000</v>
      </c>
      <c r="M27" s="454" t="str">
        <f t="shared" si="7"/>
        <v>NL</v>
      </c>
      <c r="N27" s="37" t="s">
        <v>188</v>
      </c>
      <c r="O27" s="180" t="s">
        <v>200</v>
      </c>
      <c r="P27" s="233">
        <v>370047763</v>
      </c>
      <c r="Q27" s="233" t="s">
        <v>291</v>
      </c>
      <c r="R27" s="233" t="s">
        <v>65</v>
      </c>
    </row>
    <row r="28" spans="1:18" ht="18" customHeight="1">
      <c r="A28" s="40" t="str">
        <f t="shared" si="5"/>
        <v>VL</v>
      </c>
      <c r="B28" s="87">
        <f t="shared" si="10"/>
        <v>17</v>
      </c>
      <c r="C28" s="438" t="s">
        <v>125</v>
      </c>
      <c r="D28" s="435" t="s">
        <v>90</v>
      </c>
      <c r="E28" s="436">
        <v>0</v>
      </c>
      <c r="F28" s="436">
        <v>0</v>
      </c>
      <c r="G28" s="437">
        <f t="shared" si="6"/>
        <v>387600</v>
      </c>
      <c r="H28" s="437">
        <f t="shared" si="0"/>
        <v>102721890</v>
      </c>
      <c r="I28" s="437">
        <f t="shared" si="1"/>
        <v>387600</v>
      </c>
      <c r="J28" s="437">
        <f t="shared" si="2"/>
        <v>102721890</v>
      </c>
      <c r="K28" s="436">
        <f t="shared" si="11"/>
        <v>0</v>
      </c>
      <c r="L28" s="436">
        <f t="shared" si="12"/>
        <v>0</v>
      </c>
      <c r="M28" s="454" t="str">
        <f t="shared" si="7"/>
        <v>NL</v>
      </c>
      <c r="N28" s="37" t="s">
        <v>189</v>
      </c>
      <c r="O28" s="180" t="s">
        <v>200</v>
      </c>
      <c r="P28" s="233">
        <v>370054438</v>
      </c>
      <c r="Q28" s="233" t="s">
        <v>291</v>
      </c>
      <c r="R28" s="233" t="s">
        <v>65</v>
      </c>
    </row>
    <row r="29" spans="1:18" s="201" customFormat="1" ht="18" customHeight="1">
      <c r="A29" s="40" t="str">
        <f t="shared" si="5"/>
        <v>VL</v>
      </c>
      <c r="B29" s="87">
        <f t="shared" si="8"/>
        <v>18</v>
      </c>
      <c r="C29" s="438" t="s">
        <v>51</v>
      </c>
      <c r="D29" s="435" t="s">
        <v>90</v>
      </c>
      <c r="E29" s="436">
        <v>12300</v>
      </c>
      <c r="F29" s="436">
        <v>2890500</v>
      </c>
      <c r="G29" s="437">
        <f t="shared" si="6"/>
        <v>0</v>
      </c>
      <c r="H29" s="437">
        <f t="shared" si="0"/>
        <v>0</v>
      </c>
      <c r="I29" s="437">
        <f t="shared" si="1"/>
        <v>0</v>
      </c>
      <c r="J29" s="437">
        <f t="shared" si="2"/>
        <v>0</v>
      </c>
      <c r="K29" s="436">
        <f t="shared" si="11"/>
        <v>12300</v>
      </c>
      <c r="L29" s="436">
        <f t="shared" si="12"/>
        <v>2890500</v>
      </c>
      <c r="M29" s="454" t="str">
        <f t="shared" si="7"/>
        <v>NL</v>
      </c>
      <c r="N29" s="37" t="s">
        <v>182</v>
      </c>
      <c r="O29" s="180" t="s">
        <v>200</v>
      </c>
      <c r="P29" s="233">
        <v>370615318</v>
      </c>
      <c r="Q29" s="233" t="s">
        <v>292</v>
      </c>
      <c r="R29" s="233" t="s">
        <v>65</v>
      </c>
    </row>
    <row r="30" spans="1:18" s="201" customFormat="1" ht="18" customHeight="1">
      <c r="A30" s="40" t="str">
        <f t="shared" si="5"/>
        <v>VL</v>
      </c>
      <c r="B30" s="87">
        <f t="shared" si="10"/>
        <v>19</v>
      </c>
      <c r="C30" s="438" t="s">
        <v>52</v>
      </c>
      <c r="D30" s="435" t="s">
        <v>90</v>
      </c>
      <c r="E30" s="436">
        <v>295214</v>
      </c>
      <c r="F30" s="436">
        <v>102435290</v>
      </c>
      <c r="G30" s="437">
        <f t="shared" si="6"/>
        <v>0</v>
      </c>
      <c r="H30" s="437">
        <f t="shared" si="0"/>
        <v>0</v>
      </c>
      <c r="I30" s="437">
        <f t="shared" si="1"/>
        <v>0</v>
      </c>
      <c r="J30" s="437">
        <f t="shared" si="2"/>
        <v>0</v>
      </c>
      <c r="K30" s="436">
        <f t="shared" si="11"/>
        <v>295214</v>
      </c>
      <c r="L30" s="436">
        <f t="shared" si="12"/>
        <v>102435290</v>
      </c>
      <c r="M30" s="454" t="str">
        <f t="shared" si="7"/>
        <v>NL</v>
      </c>
      <c r="N30" s="37" t="s">
        <v>183</v>
      </c>
      <c r="O30" s="180" t="s">
        <v>200</v>
      </c>
      <c r="P30" s="233">
        <v>370825748</v>
      </c>
      <c r="Q30" s="233" t="s">
        <v>292</v>
      </c>
      <c r="R30" s="233" t="s">
        <v>65</v>
      </c>
    </row>
    <row r="31" spans="1:18" s="201" customFormat="1" ht="18" customHeight="1">
      <c r="A31" s="40" t="str">
        <f t="shared" si="5"/>
        <v>VL</v>
      </c>
      <c r="B31" s="87">
        <f t="shared" si="8"/>
        <v>20</v>
      </c>
      <c r="C31" s="438" t="s">
        <v>53</v>
      </c>
      <c r="D31" s="435" t="s">
        <v>90</v>
      </c>
      <c r="E31" s="436">
        <v>6600</v>
      </c>
      <c r="F31" s="436">
        <v>3597000</v>
      </c>
      <c r="G31" s="437">
        <f t="shared" si="6"/>
        <v>0</v>
      </c>
      <c r="H31" s="437">
        <f t="shared" si="0"/>
        <v>0</v>
      </c>
      <c r="I31" s="437">
        <f t="shared" si="1"/>
        <v>0</v>
      </c>
      <c r="J31" s="437">
        <f t="shared" si="2"/>
        <v>0</v>
      </c>
      <c r="K31" s="436">
        <f t="shared" si="11"/>
        <v>6600</v>
      </c>
      <c r="L31" s="436">
        <f t="shared" si="12"/>
        <v>3597000</v>
      </c>
      <c r="M31" s="454" t="str">
        <f t="shared" si="7"/>
        <v>NL</v>
      </c>
      <c r="N31" s="37" t="s">
        <v>184</v>
      </c>
      <c r="O31" s="180" t="s">
        <v>200</v>
      </c>
      <c r="P31" s="233">
        <v>370698949</v>
      </c>
      <c r="Q31" s="233" t="s">
        <v>293</v>
      </c>
      <c r="R31" s="233" t="s">
        <v>65</v>
      </c>
    </row>
    <row r="32" spans="1:18" ht="18.75" customHeight="1">
      <c r="A32" s="40" t="str">
        <f t="shared" si="5"/>
        <v>VL</v>
      </c>
      <c r="B32" s="87">
        <f t="shared" si="10"/>
        <v>21</v>
      </c>
      <c r="C32" s="37" t="s">
        <v>58</v>
      </c>
      <c r="D32" s="51" t="s">
        <v>89</v>
      </c>
      <c r="E32" s="38">
        <v>1215</v>
      </c>
      <c r="F32" s="38">
        <v>41310000</v>
      </c>
      <c r="G32" s="46">
        <f t="shared" si="6"/>
        <v>0</v>
      </c>
      <c r="H32" s="46">
        <f t="shared" si="0"/>
        <v>0</v>
      </c>
      <c r="I32" s="46">
        <f t="shared" si="1"/>
        <v>1215</v>
      </c>
      <c r="J32" s="46">
        <f t="shared" si="2"/>
        <v>41310000</v>
      </c>
      <c r="K32" s="38">
        <f t="shared" si="11"/>
        <v>0</v>
      </c>
      <c r="L32" s="38">
        <f t="shared" si="12"/>
        <v>0</v>
      </c>
      <c r="M32" s="454" t="str">
        <f t="shared" si="7"/>
        <v>NL</v>
      </c>
      <c r="N32" s="37" t="s">
        <v>185</v>
      </c>
      <c r="O32" s="180" t="s">
        <v>200</v>
      </c>
      <c r="P32" s="233">
        <v>370803567</v>
      </c>
      <c r="Q32" s="233" t="s">
        <v>294</v>
      </c>
      <c r="R32" s="233" t="s">
        <v>65</v>
      </c>
    </row>
    <row r="33" spans="1:18" ht="18.75" customHeight="1">
      <c r="A33" s="40" t="str">
        <f t="shared" si="5"/>
        <v>VL</v>
      </c>
      <c r="B33" s="87">
        <f t="shared" si="8"/>
        <v>22</v>
      </c>
      <c r="C33" s="430" t="s">
        <v>102</v>
      </c>
      <c r="D33" s="431" t="s">
        <v>89</v>
      </c>
      <c r="E33" s="432">
        <v>6292</v>
      </c>
      <c r="F33" s="432">
        <v>35864400</v>
      </c>
      <c r="G33" s="433">
        <f t="shared" ref="G33:G56" si="13">SUMIF(DSNX1,$C33,DSNX2)</f>
        <v>3636</v>
      </c>
      <c r="H33" s="433">
        <f t="shared" ref="H33:H56" si="14">SUMIF(DSNX1,$C33,DSNX5)</f>
        <v>21528000</v>
      </c>
      <c r="I33" s="433">
        <f t="shared" ref="I33:I56" si="15">SUMIF(DSNX1,$C33,DSNX3)</f>
        <v>0</v>
      </c>
      <c r="J33" s="433">
        <f t="shared" ref="J33:J56" si="16">SUMIF(DSNX1,$C33,DSNX4)</f>
        <v>0</v>
      </c>
      <c r="K33" s="432">
        <f t="shared" si="11"/>
        <v>9928</v>
      </c>
      <c r="L33" s="432">
        <f t="shared" si="12"/>
        <v>57392400</v>
      </c>
      <c r="M33" s="454" t="str">
        <f t="shared" si="7"/>
        <v>NL</v>
      </c>
      <c r="N33" s="37" t="s">
        <v>186</v>
      </c>
      <c r="O33" s="180" t="s">
        <v>200</v>
      </c>
      <c r="P33" s="233">
        <v>370004125</v>
      </c>
      <c r="Q33" s="233" t="s">
        <v>291</v>
      </c>
      <c r="R33" s="233" t="s">
        <v>65</v>
      </c>
    </row>
    <row r="34" spans="1:18" ht="18.75" customHeight="1">
      <c r="A34" s="40" t="str">
        <f t="shared" si="5"/>
        <v>VL</v>
      </c>
      <c r="B34" s="87">
        <f t="shared" si="10"/>
        <v>23</v>
      </c>
      <c r="C34" s="430" t="s">
        <v>130</v>
      </c>
      <c r="D34" s="431" t="s">
        <v>89</v>
      </c>
      <c r="E34" s="432">
        <v>0</v>
      </c>
      <c r="F34" s="432">
        <v>0</v>
      </c>
      <c r="G34" s="433">
        <f t="shared" si="13"/>
        <v>13938</v>
      </c>
      <c r="H34" s="433">
        <f t="shared" si="14"/>
        <v>62251600</v>
      </c>
      <c r="I34" s="433">
        <f t="shared" si="15"/>
        <v>0</v>
      </c>
      <c r="J34" s="433">
        <f t="shared" si="16"/>
        <v>0</v>
      </c>
      <c r="K34" s="432">
        <f t="shared" si="11"/>
        <v>13938</v>
      </c>
      <c r="L34" s="432">
        <f t="shared" si="12"/>
        <v>62251600</v>
      </c>
      <c r="M34" s="454" t="str">
        <f t="shared" si="7"/>
        <v>NL</v>
      </c>
      <c r="N34" s="37" t="s">
        <v>187</v>
      </c>
      <c r="O34" s="180" t="s">
        <v>200</v>
      </c>
      <c r="P34" s="233">
        <v>370033286</v>
      </c>
      <c r="Q34" s="233" t="s">
        <v>291</v>
      </c>
      <c r="R34" s="233" t="s">
        <v>65</v>
      </c>
    </row>
    <row r="35" spans="1:18" ht="18.75" customHeight="1">
      <c r="A35" s="40" t="str">
        <f t="shared" si="5"/>
        <v>VL</v>
      </c>
      <c r="B35" s="87">
        <f t="shared" si="8"/>
        <v>24</v>
      </c>
      <c r="C35" s="430" t="s">
        <v>46</v>
      </c>
      <c r="D35" s="431" t="s">
        <v>89</v>
      </c>
      <c r="E35" s="432">
        <v>28628</v>
      </c>
      <c r="F35" s="432">
        <v>71570000</v>
      </c>
      <c r="G35" s="433">
        <f t="shared" si="13"/>
        <v>0</v>
      </c>
      <c r="H35" s="433">
        <f t="shared" si="14"/>
        <v>0</v>
      </c>
      <c r="I35" s="433">
        <f t="shared" si="15"/>
        <v>28628</v>
      </c>
      <c r="J35" s="433">
        <f t="shared" si="16"/>
        <v>71570000</v>
      </c>
      <c r="K35" s="432">
        <f t="shared" si="11"/>
        <v>0</v>
      </c>
      <c r="L35" s="432">
        <f t="shared" si="12"/>
        <v>0</v>
      </c>
      <c r="M35" s="454" t="str">
        <f t="shared" si="7"/>
        <v>NL</v>
      </c>
      <c r="N35" s="37" t="s">
        <v>197</v>
      </c>
      <c r="O35" s="180" t="s">
        <v>201</v>
      </c>
      <c r="P35" s="233">
        <v>310703274</v>
      </c>
      <c r="Q35" s="233" t="s">
        <v>295</v>
      </c>
      <c r="R35" s="233" t="s">
        <v>65</v>
      </c>
    </row>
    <row r="36" spans="1:18" ht="18.75" customHeight="1">
      <c r="A36" s="40" t="str">
        <f t="shared" si="5"/>
        <v>VL</v>
      </c>
      <c r="B36" s="87">
        <f t="shared" si="10"/>
        <v>25</v>
      </c>
      <c r="C36" s="430" t="s">
        <v>50</v>
      </c>
      <c r="D36" s="431" t="s">
        <v>89</v>
      </c>
      <c r="E36" s="432">
        <v>2060</v>
      </c>
      <c r="F36" s="432">
        <v>12257000</v>
      </c>
      <c r="G36" s="433">
        <f t="shared" si="13"/>
        <v>250</v>
      </c>
      <c r="H36" s="433">
        <f t="shared" si="14"/>
        <v>1487500</v>
      </c>
      <c r="I36" s="433">
        <f t="shared" si="15"/>
        <v>2310</v>
      </c>
      <c r="J36" s="433">
        <f t="shared" si="16"/>
        <v>13744500</v>
      </c>
      <c r="K36" s="432">
        <f t="shared" si="11"/>
        <v>0</v>
      </c>
      <c r="L36" s="432">
        <f t="shared" si="12"/>
        <v>0</v>
      </c>
      <c r="M36" s="454" t="str">
        <f t="shared" si="7"/>
        <v>NL</v>
      </c>
      <c r="N36" s="37" t="s">
        <v>191</v>
      </c>
      <c r="O36" s="180" t="s">
        <v>201</v>
      </c>
      <c r="P36" s="233">
        <v>311704830</v>
      </c>
      <c r="Q36" s="233" t="s">
        <v>296</v>
      </c>
      <c r="R36" s="233" t="s">
        <v>65</v>
      </c>
    </row>
    <row r="37" spans="1:18" ht="18.75" customHeight="1">
      <c r="A37" s="40" t="str">
        <f t="shared" si="5"/>
        <v>VL</v>
      </c>
      <c r="B37" s="87">
        <f t="shared" si="8"/>
        <v>26</v>
      </c>
      <c r="C37" s="430" t="s">
        <v>103</v>
      </c>
      <c r="D37" s="431" t="s">
        <v>89</v>
      </c>
      <c r="E37" s="432">
        <v>116</v>
      </c>
      <c r="F37" s="432">
        <v>3944000</v>
      </c>
      <c r="G37" s="433">
        <f t="shared" si="13"/>
        <v>0</v>
      </c>
      <c r="H37" s="433">
        <f t="shared" si="14"/>
        <v>0</v>
      </c>
      <c r="I37" s="433">
        <f t="shared" si="15"/>
        <v>116</v>
      </c>
      <c r="J37" s="433">
        <f t="shared" si="16"/>
        <v>3944000</v>
      </c>
      <c r="K37" s="432">
        <f t="shared" si="11"/>
        <v>0</v>
      </c>
      <c r="L37" s="432">
        <f t="shared" si="12"/>
        <v>0</v>
      </c>
      <c r="M37" s="454" t="str">
        <f t="shared" si="7"/>
        <v>NL</v>
      </c>
      <c r="N37" s="37" t="s">
        <v>192</v>
      </c>
      <c r="O37" s="180" t="s">
        <v>201</v>
      </c>
      <c r="P37" s="233">
        <v>311318331</v>
      </c>
      <c r="Q37" s="233" t="s">
        <v>297</v>
      </c>
      <c r="R37" s="233" t="s">
        <v>65</v>
      </c>
    </row>
    <row r="38" spans="1:18" ht="18.75" customHeight="1">
      <c r="A38" s="40" t="str">
        <f t="shared" si="5"/>
        <v>VL</v>
      </c>
      <c r="B38" s="87">
        <f t="shared" si="10"/>
        <v>27</v>
      </c>
      <c r="C38" s="430" t="s">
        <v>104</v>
      </c>
      <c r="D38" s="431" t="s">
        <v>89</v>
      </c>
      <c r="E38" s="432">
        <v>4950</v>
      </c>
      <c r="F38" s="432">
        <v>22275000</v>
      </c>
      <c r="G38" s="433">
        <f t="shared" si="13"/>
        <v>0</v>
      </c>
      <c r="H38" s="433">
        <f t="shared" si="14"/>
        <v>0</v>
      </c>
      <c r="I38" s="433">
        <f t="shared" si="15"/>
        <v>4950</v>
      </c>
      <c r="J38" s="433">
        <f t="shared" si="16"/>
        <v>22275000</v>
      </c>
      <c r="K38" s="432">
        <f t="shared" si="11"/>
        <v>0</v>
      </c>
      <c r="L38" s="432">
        <f t="shared" si="12"/>
        <v>0</v>
      </c>
      <c r="M38" s="454" t="str">
        <f t="shared" si="7"/>
        <v>NL</v>
      </c>
      <c r="N38" s="37" t="s">
        <v>193</v>
      </c>
      <c r="O38" s="180" t="s">
        <v>201</v>
      </c>
      <c r="P38" s="233">
        <v>310882191</v>
      </c>
      <c r="Q38" s="233" t="s">
        <v>298</v>
      </c>
      <c r="R38" s="233" t="s">
        <v>65</v>
      </c>
    </row>
    <row r="39" spans="1:18" ht="18.75" customHeight="1">
      <c r="A39" s="40" t="str">
        <f t="shared" si="5"/>
        <v>VL</v>
      </c>
      <c r="B39" s="87">
        <f t="shared" si="8"/>
        <v>28</v>
      </c>
      <c r="C39" s="430" t="s">
        <v>129</v>
      </c>
      <c r="D39" s="431" t="s">
        <v>89</v>
      </c>
      <c r="E39" s="432">
        <v>0</v>
      </c>
      <c r="F39" s="432">
        <v>0</v>
      </c>
      <c r="G39" s="433">
        <f t="shared" si="13"/>
        <v>3201</v>
      </c>
      <c r="H39" s="433">
        <f t="shared" si="14"/>
        <v>64020000</v>
      </c>
      <c r="I39" s="433">
        <f t="shared" si="15"/>
        <v>3201</v>
      </c>
      <c r="J39" s="433">
        <f t="shared" si="16"/>
        <v>64020000</v>
      </c>
      <c r="K39" s="432">
        <f t="shared" si="11"/>
        <v>0</v>
      </c>
      <c r="L39" s="432">
        <f t="shared" si="12"/>
        <v>0</v>
      </c>
      <c r="M39" s="454" t="str">
        <f t="shared" si="7"/>
        <v>NL</v>
      </c>
      <c r="N39" s="37" t="s">
        <v>194</v>
      </c>
      <c r="O39" s="180" t="s">
        <v>201</v>
      </c>
      <c r="P39" s="233">
        <v>310882158</v>
      </c>
      <c r="Q39" s="233" t="s">
        <v>299</v>
      </c>
      <c r="R39" s="233" t="s">
        <v>65</v>
      </c>
    </row>
    <row r="40" spans="1:18" ht="18.75" customHeight="1">
      <c r="A40" s="40" t="str">
        <f t="shared" si="5"/>
        <v>VL</v>
      </c>
      <c r="B40" s="87">
        <f t="shared" si="8"/>
        <v>29</v>
      </c>
      <c r="C40" s="430" t="s">
        <v>392</v>
      </c>
      <c r="D40" s="431" t="s">
        <v>89</v>
      </c>
      <c r="E40" s="432">
        <v>0</v>
      </c>
      <c r="F40" s="432">
        <v>0</v>
      </c>
      <c r="G40" s="433">
        <f t="shared" si="13"/>
        <v>650</v>
      </c>
      <c r="H40" s="433">
        <f t="shared" si="14"/>
        <v>6935000</v>
      </c>
      <c r="I40" s="433">
        <f t="shared" si="15"/>
        <v>650</v>
      </c>
      <c r="J40" s="433">
        <f t="shared" si="16"/>
        <v>6935000</v>
      </c>
      <c r="K40" s="432">
        <f t="shared" si="11"/>
        <v>0</v>
      </c>
      <c r="L40" s="432">
        <f t="shared" si="12"/>
        <v>0</v>
      </c>
      <c r="M40" s="454" t="str">
        <f t="shared" si="7"/>
        <v>NL</v>
      </c>
      <c r="N40" s="37" t="s">
        <v>195</v>
      </c>
      <c r="O40" s="180" t="s">
        <v>201</v>
      </c>
      <c r="P40" s="233">
        <v>310033074</v>
      </c>
      <c r="Q40" s="233" t="s">
        <v>295</v>
      </c>
      <c r="R40" s="233" t="s">
        <v>65</v>
      </c>
    </row>
    <row r="41" spans="1:18" ht="18.75" customHeight="1">
      <c r="A41" s="40" t="str">
        <f t="shared" ref="A41" si="17">IF(B41&lt;&gt;"","VL","")</f>
        <v>VL</v>
      </c>
      <c r="B41" s="87">
        <f t="shared" si="8"/>
        <v>30</v>
      </c>
      <c r="C41" s="430" t="s">
        <v>56</v>
      </c>
      <c r="D41" s="431" t="s">
        <v>89</v>
      </c>
      <c r="E41" s="432">
        <v>620</v>
      </c>
      <c r="F41" s="432">
        <v>11346000</v>
      </c>
      <c r="G41" s="433">
        <f t="shared" si="13"/>
        <v>0</v>
      </c>
      <c r="H41" s="433">
        <f t="shared" si="14"/>
        <v>0</v>
      </c>
      <c r="I41" s="433">
        <f t="shared" si="15"/>
        <v>620</v>
      </c>
      <c r="J41" s="433">
        <f t="shared" si="16"/>
        <v>11346000</v>
      </c>
      <c r="K41" s="432">
        <f t="shared" si="11"/>
        <v>0</v>
      </c>
      <c r="L41" s="432">
        <f t="shared" si="12"/>
        <v>0</v>
      </c>
      <c r="M41" s="454" t="str">
        <f t="shared" si="7"/>
        <v>NL</v>
      </c>
      <c r="N41" s="37" t="s">
        <v>195</v>
      </c>
      <c r="O41" s="180" t="s">
        <v>201</v>
      </c>
      <c r="P41" s="233">
        <v>310033074</v>
      </c>
      <c r="Q41" s="233" t="s">
        <v>295</v>
      </c>
      <c r="R41" s="233" t="s">
        <v>65</v>
      </c>
    </row>
    <row r="42" spans="1:18" ht="18.75" customHeight="1">
      <c r="A42" s="40" t="str">
        <f t="shared" si="5"/>
        <v>VL</v>
      </c>
      <c r="B42" s="87">
        <f t="shared" si="8"/>
        <v>31</v>
      </c>
      <c r="C42" s="430" t="s">
        <v>57</v>
      </c>
      <c r="D42" s="431" t="s">
        <v>89</v>
      </c>
      <c r="E42" s="432">
        <v>330</v>
      </c>
      <c r="F42" s="432">
        <v>4240500</v>
      </c>
      <c r="G42" s="433">
        <f t="shared" si="13"/>
        <v>0</v>
      </c>
      <c r="H42" s="433">
        <f t="shared" si="14"/>
        <v>0</v>
      </c>
      <c r="I42" s="433">
        <f t="shared" si="15"/>
        <v>330</v>
      </c>
      <c r="J42" s="433">
        <f t="shared" si="16"/>
        <v>4240500</v>
      </c>
      <c r="K42" s="432">
        <f t="shared" si="11"/>
        <v>0</v>
      </c>
      <c r="L42" s="432">
        <f t="shared" si="12"/>
        <v>0</v>
      </c>
      <c r="M42" s="454" t="str">
        <f t="shared" si="7"/>
        <v>NL</v>
      </c>
      <c r="N42" s="37" t="s">
        <v>196</v>
      </c>
      <c r="O42" s="180" t="s">
        <v>201</v>
      </c>
      <c r="P42" s="233">
        <v>310526150</v>
      </c>
      <c r="Q42" s="233" t="s">
        <v>295</v>
      </c>
      <c r="R42" s="233" t="s">
        <v>65</v>
      </c>
    </row>
    <row r="43" spans="1:18" ht="18.75" customHeight="1">
      <c r="A43" s="40" t="str">
        <f t="shared" si="5"/>
        <v>VL</v>
      </c>
      <c r="B43" s="87">
        <f t="shared" si="8"/>
        <v>32</v>
      </c>
      <c r="C43" s="430" t="s">
        <v>276</v>
      </c>
      <c r="D43" s="431" t="s">
        <v>89</v>
      </c>
      <c r="E43" s="432">
        <v>0</v>
      </c>
      <c r="F43" s="432">
        <v>0</v>
      </c>
      <c r="G43" s="433">
        <f t="shared" si="13"/>
        <v>6110</v>
      </c>
      <c r="H43" s="433">
        <f t="shared" si="14"/>
        <v>79590000</v>
      </c>
      <c r="I43" s="433">
        <f t="shared" si="15"/>
        <v>6110</v>
      </c>
      <c r="J43" s="433">
        <f t="shared" si="16"/>
        <v>79590000</v>
      </c>
      <c r="K43" s="432">
        <f t="shared" si="11"/>
        <v>0</v>
      </c>
      <c r="L43" s="432">
        <f t="shared" si="12"/>
        <v>0</v>
      </c>
      <c r="M43" s="454" t="str">
        <f t="shared" si="7"/>
        <v>NL</v>
      </c>
      <c r="N43" s="37" t="s">
        <v>190</v>
      </c>
      <c r="O43" s="180" t="s">
        <v>201</v>
      </c>
      <c r="P43" s="233">
        <v>311514350</v>
      </c>
      <c r="Q43" s="233" t="s">
        <v>296</v>
      </c>
      <c r="R43" s="233" t="s">
        <v>65</v>
      </c>
    </row>
    <row r="44" spans="1:18" ht="18.75" customHeight="1">
      <c r="A44" s="40" t="str">
        <f t="shared" si="5"/>
        <v>VL</v>
      </c>
      <c r="B44" s="87">
        <f t="shared" si="8"/>
        <v>33</v>
      </c>
      <c r="C44" s="430" t="s">
        <v>60</v>
      </c>
      <c r="D44" s="431" t="s">
        <v>89</v>
      </c>
      <c r="E44" s="432">
        <v>1220</v>
      </c>
      <c r="F44" s="432">
        <v>6100000</v>
      </c>
      <c r="G44" s="433">
        <f t="shared" si="13"/>
        <v>0</v>
      </c>
      <c r="H44" s="433">
        <f t="shared" si="14"/>
        <v>0</v>
      </c>
      <c r="I44" s="433">
        <f t="shared" si="15"/>
        <v>1220</v>
      </c>
      <c r="J44" s="433">
        <f t="shared" si="16"/>
        <v>6100000</v>
      </c>
      <c r="K44" s="432">
        <f t="shared" si="11"/>
        <v>0</v>
      </c>
      <c r="L44" s="432">
        <f t="shared" si="12"/>
        <v>0</v>
      </c>
      <c r="M44" s="454" t="str">
        <f t="shared" si="7"/>
        <v>NL</v>
      </c>
      <c r="N44" s="37" t="s">
        <v>204</v>
      </c>
      <c r="O44" s="180" t="s">
        <v>203</v>
      </c>
      <c r="P44" s="233">
        <v>270106056</v>
      </c>
      <c r="Q44" s="233" t="s">
        <v>203</v>
      </c>
      <c r="R44" s="233" t="s">
        <v>65</v>
      </c>
    </row>
    <row r="45" spans="1:18" ht="18.75" customHeight="1">
      <c r="A45" s="40" t="str">
        <f t="shared" si="5"/>
        <v>VL</v>
      </c>
      <c r="B45" s="87">
        <f t="shared" si="8"/>
        <v>34</v>
      </c>
      <c r="C45" s="430" t="s">
        <v>47</v>
      </c>
      <c r="D45" s="431" t="s">
        <v>89</v>
      </c>
      <c r="E45" s="432">
        <v>3355</v>
      </c>
      <c r="F45" s="432">
        <v>37720000</v>
      </c>
      <c r="G45" s="433">
        <f t="shared" si="13"/>
        <v>7375</v>
      </c>
      <c r="H45" s="433">
        <f t="shared" si="14"/>
        <v>106138000</v>
      </c>
      <c r="I45" s="433">
        <f t="shared" si="15"/>
        <v>3350</v>
      </c>
      <c r="J45" s="433">
        <f t="shared" si="16"/>
        <v>37636000</v>
      </c>
      <c r="K45" s="432">
        <f t="shared" si="11"/>
        <v>7380</v>
      </c>
      <c r="L45" s="432">
        <f t="shared" si="12"/>
        <v>106222000</v>
      </c>
      <c r="M45" s="454" t="str">
        <f t="shared" si="7"/>
        <v>NL</v>
      </c>
      <c r="N45" s="37" t="s">
        <v>205</v>
      </c>
      <c r="O45" s="180" t="s">
        <v>203</v>
      </c>
      <c r="P45" s="233">
        <v>270176684</v>
      </c>
      <c r="Q45" s="233" t="s">
        <v>203</v>
      </c>
      <c r="R45" s="233" t="s">
        <v>65</v>
      </c>
    </row>
    <row r="46" spans="1:18" ht="18.75" customHeight="1">
      <c r="A46" s="40" t="str">
        <f t="shared" si="5"/>
        <v>VL</v>
      </c>
      <c r="B46" s="87">
        <f t="shared" si="8"/>
        <v>35</v>
      </c>
      <c r="C46" s="430" t="s">
        <v>390</v>
      </c>
      <c r="D46" s="431" t="s">
        <v>89</v>
      </c>
      <c r="E46" s="432"/>
      <c r="F46" s="432"/>
      <c r="G46" s="433">
        <f t="shared" si="13"/>
        <v>2000</v>
      </c>
      <c r="H46" s="433">
        <f t="shared" si="14"/>
        <v>26250000</v>
      </c>
      <c r="I46" s="433">
        <f t="shared" si="15"/>
        <v>2000</v>
      </c>
      <c r="J46" s="433">
        <f t="shared" si="16"/>
        <v>26250000</v>
      </c>
      <c r="K46" s="432">
        <f t="shared" si="11"/>
        <v>0</v>
      </c>
      <c r="L46" s="432">
        <f t="shared" si="12"/>
        <v>0</v>
      </c>
      <c r="M46" s="454" t="str">
        <f t="shared" si="7"/>
        <v>NL</v>
      </c>
      <c r="N46" s="37" t="s">
        <v>206</v>
      </c>
      <c r="O46" s="180" t="s">
        <v>203</v>
      </c>
      <c r="P46" s="233">
        <v>270176960</v>
      </c>
      <c r="Q46" s="233" t="s">
        <v>203</v>
      </c>
      <c r="R46" s="233" t="s">
        <v>65</v>
      </c>
    </row>
    <row r="47" spans="1:18" ht="18.75" customHeight="1">
      <c r="A47" s="40" t="str">
        <f t="shared" ref="A47" si="18">IF(B47&lt;&gt;"","VL","")</f>
        <v>VL</v>
      </c>
      <c r="B47" s="87">
        <f t="shared" si="8"/>
        <v>36</v>
      </c>
      <c r="C47" s="430" t="s">
        <v>61</v>
      </c>
      <c r="D47" s="431" t="s">
        <v>89</v>
      </c>
      <c r="E47" s="432">
        <v>770</v>
      </c>
      <c r="F47" s="432">
        <v>8750000</v>
      </c>
      <c r="G47" s="433">
        <f t="shared" si="13"/>
        <v>0</v>
      </c>
      <c r="H47" s="433">
        <f t="shared" si="14"/>
        <v>0</v>
      </c>
      <c r="I47" s="433">
        <f t="shared" si="15"/>
        <v>770</v>
      </c>
      <c r="J47" s="433">
        <f t="shared" si="16"/>
        <v>8750000</v>
      </c>
      <c r="K47" s="432">
        <f t="shared" si="11"/>
        <v>0</v>
      </c>
      <c r="L47" s="432">
        <f t="shared" si="12"/>
        <v>0</v>
      </c>
      <c r="M47" s="454" t="str">
        <f t="shared" si="7"/>
        <v>NL</v>
      </c>
      <c r="N47" s="37" t="s">
        <v>208</v>
      </c>
      <c r="O47" s="180" t="s">
        <v>203</v>
      </c>
      <c r="P47" s="233">
        <v>271181056</v>
      </c>
      <c r="Q47" s="233" t="s">
        <v>203</v>
      </c>
      <c r="R47" s="233" t="s">
        <v>65</v>
      </c>
    </row>
    <row r="48" spans="1:18" ht="18.75" customHeight="1">
      <c r="A48" s="40" t="str">
        <f t="shared" si="5"/>
        <v>VL</v>
      </c>
      <c r="B48" s="87">
        <f t="shared" si="8"/>
        <v>37</v>
      </c>
      <c r="C48" s="430" t="s">
        <v>98</v>
      </c>
      <c r="D48" s="431" t="s">
        <v>89</v>
      </c>
      <c r="E48" s="432">
        <v>525</v>
      </c>
      <c r="F48" s="432">
        <v>6772500</v>
      </c>
      <c r="G48" s="433">
        <f t="shared" si="13"/>
        <v>0</v>
      </c>
      <c r="H48" s="433">
        <f t="shared" si="14"/>
        <v>0</v>
      </c>
      <c r="I48" s="433">
        <f t="shared" si="15"/>
        <v>525</v>
      </c>
      <c r="J48" s="433">
        <f t="shared" si="16"/>
        <v>6772500</v>
      </c>
      <c r="K48" s="432">
        <f t="shared" si="11"/>
        <v>0</v>
      </c>
      <c r="L48" s="432">
        <f t="shared" si="12"/>
        <v>0</v>
      </c>
      <c r="M48" s="454" t="str">
        <f t="shared" si="7"/>
        <v>NL</v>
      </c>
      <c r="N48" s="37" t="s">
        <v>207</v>
      </c>
      <c r="O48" s="180" t="s">
        <v>203</v>
      </c>
      <c r="P48" s="233">
        <v>270986506</v>
      </c>
      <c r="Q48" s="233" t="s">
        <v>203</v>
      </c>
      <c r="R48" s="233" t="s">
        <v>65</v>
      </c>
    </row>
    <row r="49" spans="1:18" ht="18.75" customHeight="1">
      <c r="A49" s="40" t="str">
        <f t="shared" si="5"/>
        <v>VL</v>
      </c>
      <c r="B49" s="87">
        <f t="shared" si="8"/>
        <v>38</v>
      </c>
      <c r="C49" s="430" t="s">
        <v>62</v>
      </c>
      <c r="D49" s="431" t="s">
        <v>89</v>
      </c>
      <c r="E49" s="432">
        <v>675</v>
      </c>
      <c r="F49" s="432">
        <v>6817500</v>
      </c>
      <c r="G49" s="433">
        <f t="shared" si="13"/>
        <v>0</v>
      </c>
      <c r="H49" s="433">
        <f t="shared" si="14"/>
        <v>0</v>
      </c>
      <c r="I49" s="433">
        <f t="shared" si="15"/>
        <v>675</v>
      </c>
      <c r="J49" s="433">
        <f t="shared" si="16"/>
        <v>6817500</v>
      </c>
      <c r="K49" s="432">
        <f t="shared" si="11"/>
        <v>0</v>
      </c>
      <c r="L49" s="432">
        <f t="shared" si="12"/>
        <v>0</v>
      </c>
      <c r="M49" s="454" t="str">
        <f t="shared" si="7"/>
        <v>NL</v>
      </c>
      <c r="N49" s="37" t="s">
        <v>202</v>
      </c>
      <c r="O49" s="180" t="s">
        <v>203</v>
      </c>
      <c r="P49" s="233">
        <v>220557300</v>
      </c>
      <c r="Q49" s="233" t="s">
        <v>300</v>
      </c>
      <c r="R49" s="233" t="s">
        <v>65</v>
      </c>
    </row>
    <row r="50" spans="1:18" ht="18.75" customHeight="1">
      <c r="A50" s="40" t="str">
        <f t="shared" si="5"/>
        <v>VL</v>
      </c>
      <c r="B50" s="87">
        <f t="shared" si="8"/>
        <v>39</v>
      </c>
      <c r="C50" s="430" t="s">
        <v>99</v>
      </c>
      <c r="D50" s="431" t="s">
        <v>89</v>
      </c>
      <c r="E50" s="432">
        <v>50</v>
      </c>
      <c r="F50" s="432">
        <v>955000</v>
      </c>
      <c r="G50" s="433">
        <f t="shared" si="13"/>
        <v>0</v>
      </c>
      <c r="H50" s="433">
        <f t="shared" si="14"/>
        <v>0</v>
      </c>
      <c r="I50" s="433">
        <f t="shared" si="15"/>
        <v>50</v>
      </c>
      <c r="J50" s="433">
        <f t="shared" si="16"/>
        <v>955000</v>
      </c>
      <c r="K50" s="432">
        <f t="shared" si="11"/>
        <v>0</v>
      </c>
      <c r="L50" s="432">
        <f t="shared" si="12"/>
        <v>0</v>
      </c>
      <c r="M50" s="454" t="str">
        <f t="shared" si="7"/>
        <v>NL</v>
      </c>
      <c r="N50" s="37" t="s">
        <v>210</v>
      </c>
      <c r="O50" s="180" t="s">
        <v>203</v>
      </c>
      <c r="P50" s="233">
        <v>273249576</v>
      </c>
      <c r="Q50" s="233" t="s">
        <v>203</v>
      </c>
      <c r="R50" s="233" t="s">
        <v>65</v>
      </c>
    </row>
    <row r="51" spans="1:18" ht="18.75" customHeight="1">
      <c r="A51" s="40" t="str">
        <f t="shared" si="5"/>
        <v>VL</v>
      </c>
      <c r="B51" s="87">
        <f t="shared" si="8"/>
        <v>40</v>
      </c>
      <c r="C51" s="430" t="s">
        <v>100</v>
      </c>
      <c r="D51" s="431" t="s">
        <v>89</v>
      </c>
      <c r="E51" s="432">
        <v>605</v>
      </c>
      <c r="F51" s="432">
        <v>12100000</v>
      </c>
      <c r="G51" s="433">
        <f t="shared" si="13"/>
        <v>293</v>
      </c>
      <c r="H51" s="433">
        <f t="shared" si="14"/>
        <v>5860000</v>
      </c>
      <c r="I51" s="433">
        <f t="shared" si="15"/>
        <v>898</v>
      </c>
      <c r="J51" s="433">
        <f t="shared" si="16"/>
        <v>17960000</v>
      </c>
      <c r="K51" s="432">
        <f t="shared" si="11"/>
        <v>0</v>
      </c>
      <c r="L51" s="432">
        <f t="shared" si="12"/>
        <v>0</v>
      </c>
      <c r="M51" s="454" t="str">
        <f t="shared" si="7"/>
        <v>NL</v>
      </c>
      <c r="N51" s="37" t="s">
        <v>209</v>
      </c>
      <c r="O51" s="180" t="s">
        <v>203</v>
      </c>
      <c r="P51" s="233">
        <v>271642418</v>
      </c>
      <c r="Q51" s="233" t="s">
        <v>203</v>
      </c>
      <c r="R51" s="233" t="s">
        <v>65</v>
      </c>
    </row>
    <row r="52" spans="1:18" ht="18.75" customHeight="1">
      <c r="A52" s="40" t="str">
        <f t="shared" si="5"/>
        <v>VL</v>
      </c>
      <c r="B52" s="87">
        <f t="shared" si="8"/>
        <v>41</v>
      </c>
      <c r="C52" s="430" t="s">
        <v>101</v>
      </c>
      <c r="D52" s="431" t="s">
        <v>89</v>
      </c>
      <c r="E52" s="432">
        <v>1330</v>
      </c>
      <c r="F52" s="432">
        <v>22610000</v>
      </c>
      <c r="G52" s="433">
        <f t="shared" si="13"/>
        <v>3260</v>
      </c>
      <c r="H52" s="433">
        <f t="shared" si="14"/>
        <v>55420000</v>
      </c>
      <c r="I52" s="433">
        <f t="shared" si="15"/>
        <v>4590</v>
      </c>
      <c r="J52" s="433">
        <f t="shared" si="16"/>
        <v>78030000</v>
      </c>
      <c r="K52" s="432">
        <f t="shared" si="11"/>
        <v>0</v>
      </c>
      <c r="L52" s="432">
        <f t="shared" si="12"/>
        <v>0</v>
      </c>
      <c r="M52" s="454" t="str">
        <f t="shared" si="7"/>
        <v>NL</v>
      </c>
      <c r="N52" s="77" t="s">
        <v>211</v>
      </c>
      <c r="O52" s="180" t="s">
        <v>203</v>
      </c>
      <c r="P52" s="233">
        <v>273017840</v>
      </c>
      <c r="Q52" s="233" t="s">
        <v>301</v>
      </c>
      <c r="R52" s="233" t="s">
        <v>65</v>
      </c>
    </row>
    <row r="53" spans="1:18" ht="18.75" customHeight="1">
      <c r="A53" s="40" t="str">
        <f t="shared" si="5"/>
        <v>VL</v>
      </c>
      <c r="B53" s="87">
        <f t="shared" si="8"/>
        <v>42</v>
      </c>
      <c r="C53" s="430" t="s">
        <v>380</v>
      </c>
      <c r="D53" s="431" t="s">
        <v>399</v>
      </c>
      <c r="E53" s="432">
        <v>0</v>
      </c>
      <c r="F53" s="432">
        <v>0</v>
      </c>
      <c r="G53" s="433">
        <f>SUMIF(DSNX1,$C53,DSNX2)</f>
        <v>3260</v>
      </c>
      <c r="H53" s="433">
        <f>SUMIF(DSNX1,$C53,DSNX5)</f>
        <v>8150000</v>
      </c>
      <c r="I53" s="433">
        <f>SUMIF(DSNX1,$C53,DSNX3)</f>
        <v>3260</v>
      </c>
      <c r="J53" s="433">
        <f>SUMIF(DSNX1,$C53,DSNX4)</f>
        <v>8150000</v>
      </c>
      <c r="K53" s="432">
        <f>E53+G53-I53</f>
        <v>0</v>
      </c>
      <c r="L53" s="432">
        <f>F53+H53-J53</f>
        <v>0</v>
      </c>
      <c r="M53" s="454" t="str">
        <f t="shared" si="7"/>
        <v/>
      </c>
      <c r="N53" s="77"/>
      <c r="O53" s="180"/>
      <c r="P53" s="233"/>
      <c r="Q53" s="233"/>
      <c r="R53" s="233"/>
    </row>
    <row r="54" spans="1:18" ht="18.75" customHeight="1">
      <c r="A54" s="40" t="str">
        <f>IF(B54&lt;&gt;"","VL","")</f>
        <v>VL</v>
      </c>
      <c r="B54" s="87">
        <f>IF(C54&lt;&gt;"",B55+1,"")</f>
        <v>44</v>
      </c>
      <c r="C54" s="430" t="s">
        <v>63</v>
      </c>
      <c r="D54" s="431" t="s">
        <v>89</v>
      </c>
      <c r="E54" s="432">
        <v>600</v>
      </c>
      <c r="F54" s="432">
        <v>11040000</v>
      </c>
      <c r="G54" s="433">
        <f t="shared" si="13"/>
        <v>40</v>
      </c>
      <c r="H54" s="433">
        <f t="shared" si="14"/>
        <v>736000</v>
      </c>
      <c r="I54" s="433">
        <f t="shared" si="15"/>
        <v>640</v>
      </c>
      <c r="J54" s="433">
        <f t="shared" si="16"/>
        <v>11776000</v>
      </c>
      <c r="K54" s="432">
        <f t="shared" ref="K54:K55" si="19">E54+G54-I54</f>
        <v>0</v>
      </c>
      <c r="L54" s="432">
        <f t="shared" ref="L54:L55" si="20">F54+H54-J54</f>
        <v>0</v>
      </c>
      <c r="M54" s="454" t="str">
        <f t="shared" si="7"/>
        <v>NL</v>
      </c>
      <c r="N54" s="77" t="s">
        <v>277</v>
      </c>
      <c r="O54" s="180" t="s">
        <v>278</v>
      </c>
      <c r="P54" s="233"/>
      <c r="Q54" s="233"/>
      <c r="R54" s="233"/>
    </row>
    <row r="55" spans="1:18" ht="18.75" customHeight="1">
      <c r="A55" s="40" t="str">
        <f t="shared" si="5"/>
        <v>VL</v>
      </c>
      <c r="B55" s="87">
        <f>IF(C55&lt;&gt;"",B53+1,"")</f>
        <v>43</v>
      </c>
      <c r="C55" s="430" t="s">
        <v>391</v>
      </c>
      <c r="D55" s="431" t="s">
        <v>89</v>
      </c>
      <c r="E55" s="432">
        <v>0</v>
      </c>
      <c r="F55" s="432">
        <v>0</v>
      </c>
      <c r="G55" s="433">
        <f t="shared" si="13"/>
        <v>4900</v>
      </c>
      <c r="H55" s="433">
        <f t="shared" si="14"/>
        <v>71540000</v>
      </c>
      <c r="I55" s="433">
        <f t="shared" si="15"/>
        <v>4900</v>
      </c>
      <c r="J55" s="433">
        <f t="shared" si="16"/>
        <v>71540000</v>
      </c>
      <c r="K55" s="432">
        <f t="shared" si="19"/>
        <v>0</v>
      </c>
      <c r="L55" s="432">
        <f t="shared" si="20"/>
        <v>0</v>
      </c>
      <c r="M55" s="454" t="str">
        <f t="shared" si="7"/>
        <v>NL</v>
      </c>
      <c r="N55" s="77" t="s">
        <v>229</v>
      </c>
      <c r="O55" s="180"/>
      <c r="P55" s="233"/>
      <c r="Q55" s="456"/>
      <c r="R55" s="456"/>
    </row>
    <row r="56" spans="1:18" ht="18.75" customHeight="1">
      <c r="A56" s="40" t="str">
        <f t="shared" si="5"/>
        <v>VL</v>
      </c>
      <c r="B56" s="87">
        <f>IF(C56&lt;&gt;"",B54+1,"")</f>
        <v>45</v>
      </c>
      <c r="C56" s="430" t="s">
        <v>397</v>
      </c>
      <c r="D56" s="431" t="s">
        <v>89</v>
      </c>
      <c r="E56" s="432">
        <v>0</v>
      </c>
      <c r="F56" s="432">
        <v>0</v>
      </c>
      <c r="G56" s="433">
        <f t="shared" si="13"/>
        <v>450</v>
      </c>
      <c r="H56" s="433">
        <f t="shared" si="14"/>
        <v>9765000</v>
      </c>
      <c r="I56" s="433">
        <f t="shared" si="15"/>
        <v>450</v>
      </c>
      <c r="J56" s="433">
        <f t="shared" si="16"/>
        <v>9765000</v>
      </c>
      <c r="K56" s="432">
        <f t="shared" ref="K56" si="21">E56+G56-I56</f>
        <v>0</v>
      </c>
      <c r="L56" s="432">
        <f t="shared" ref="L56" si="22">F56+H56-J56</f>
        <v>0</v>
      </c>
      <c r="M56" s="454" t="str">
        <f t="shared" si="7"/>
        <v/>
      </c>
      <c r="N56" s="37"/>
      <c r="Q56" s="457"/>
      <c r="R56" s="457"/>
    </row>
    <row r="57" spans="1:18" ht="18" customHeight="1">
      <c r="A57" s="40" t="str">
        <f>IF(B58&lt;&gt;"","VL","")</f>
        <v/>
      </c>
      <c r="B57" s="87" t="str">
        <f>IF(C57&lt;&gt;"",B56+1,"")</f>
        <v/>
      </c>
      <c r="C57" s="77"/>
      <c r="D57" s="183"/>
      <c r="E57" s="78"/>
      <c r="F57" s="78"/>
      <c r="G57" s="46"/>
      <c r="H57" s="78"/>
      <c r="I57" s="78"/>
      <c r="J57" s="78"/>
      <c r="K57" s="78"/>
      <c r="L57" s="78"/>
      <c r="M57" s="454" t="str">
        <f t="shared" si="7"/>
        <v/>
      </c>
      <c r="N57" s="37"/>
      <c r="Q57" s="41" t="s">
        <v>126</v>
      </c>
      <c r="R57" s="458">
        <v>4.5</v>
      </c>
    </row>
    <row r="58" spans="1:18" ht="18" customHeight="1">
      <c r="A58" s="40" t="str">
        <f>IF(B59&lt;&gt;"","VL","")</f>
        <v/>
      </c>
      <c r="B58" s="39"/>
      <c r="C58" s="39" t="s">
        <v>67</v>
      </c>
      <c r="D58" s="36"/>
      <c r="E58" s="36">
        <f t="shared" ref="E58:L58" si="23">SUM(E12:E57)</f>
        <v>1135285.7</v>
      </c>
      <c r="F58" s="36">
        <f t="shared" si="23"/>
        <v>951049737</v>
      </c>
      <c r="G58" s="36">
        <f t="shared" si="23"/>
        <v>845443</v>
      </c>
      <c r="H58" s="36">
        <f t="shared" si="23"/>
        <v>1039355535</v>
      </c>
      <c r="I58" s="36">
        <f t="shared" si="23"/>
        <v>1483052</v>
      </c>
      <c r="J58" s="36">
        <f t="shared" si="23"/>
        <v>1463885385</v>
      </c>
      <c r="K58" s="36">
        <f t="shared" si="23"/>
        <v>497676.7</v>
      </c>
      <c r="L58" s="36">
        <f t="shared" si="23"/>
        <v>526519887</v>
      </c>
      <c r="M58" s="454" t="str">
        <f t="shared" si="7"/>
        <v/>
      </c>
      <c r="N58" s="37"/>
      <c r="Q58" s="37" t="s">
        <v>114</v>
      </c>
      <c r="R58" s="458">
        <v>5</v>
      </c>
    </row>
    <row r="59" spans="1:18" ht="18" customHeight="1">
      <c r="A59" s="40"/>
      <c r="B59" s="63"/>
      <c r="C59" s="63"/>
      <c r="D59" s="64"/>
      <c r="E59" s="64">
        <v>0</v>
      </c>
      <c r="F59" s="64">
        <f>[2]CDPS!$C$22</f>
        <v>951049737</v>
      </c>
      <c r="G59" s="64">
        <f>F58-F59</f>
        <v>0</v>
      </c>
      <c r="H59" s="64">
        <f>[3]CDPS!$E$22</f>
        <v>1039355535</v>
      </c>
      <c r="I59" s="64">
        <f>H58-H59</f>
        <v>0</v>
      </c>
      <c r="J59" s="64">
        <f>[3]CDPS!$F$22</f>
        <v>1463885385</v>
      </c>
      <c r="K59" s="64">
        <f>J58-J59</f>
        <v>0</v>
      </c>
      <c r="L59" s="64"/>
      <c r="M59" s="454" t="str">
        <f>IF(N59&lt;&gt;"","TP","")</f>
        <v>TP</v>
      </c>
      <c r="N59" s="37" t="s">
        <v>396</v>
      </c>
      <c r="Q59" s="37" t="s">
        <v>115</v>
      </c>
      <c r="R59" s="458">
        <v>5</v>
      </c>
    </row>
    <row r="60" spans="1:18" ht="19.5" customHeight="1">
      <c r="A60" s="40" t="str">
        <f>IF(B60&lt;&gt;"","NL","")</f>
        <v>NL</v>
      </c>
      <c r="B60" s="85">
        <f>IF(C60&lt;&gt;"",ROW()-(ROW()-1),"")</f>
        <v>1</v>
      </c>
      <c r="C60" s="37" t="s">
        <v>69</v>
      </c>
      <c r="D60" s="50" t="s">
        <v>37</v>
      </c>
      <c r="E60" s="46">
        <v>0</v>
      </c>
      <c r="F60" s="46">
        <v>0</v>
      </c>
      <c r="G60" s="46">
        <f t="shared" ref="G60:G68" si="24">SUMIF(DSNX1,$C60,DSNX2)</f>
        <v>285248</v>
      </c>
      <c r="H60" s="46">
        <f t="shared" ref="H60:H68" si="25">SUMIF(DSNX1,$C60,DSNX5)</f>
        <v>4640224000</v>
      </c>
      <c r="I60" s="46">
        <f t="shared" ref="I60:I68" si="26">SUMIF(DSNX1,$C60,DSNX3)</f>
        <v>238848</v>
      </c>
      <c r="J60" s="46">
        <f t="shared" ref="J60:J68" si="27">SUMIF(DSNX1,$C60,DSNX4)</f>
        <v>3781824000</v>
      </c>
      <c r="K60" s="46">
        <f t="shared" ref="K60:L67" si="28">E60+G60-I60</f>
        <v>46400</v>
      </c>
      <c r="L60" s="46">
        <f t="shared" si="28"/>
        <v>858400000</v>
      </c>
      <c r="M60" s="454" t="str">
        <f>IF(N60&lt;&gt;"","TP","")</f>
        <v>TP</v>
      </c>
      <c r="N60" s="37" t="s">
        <v>160</v>
      </c>
      <c r="Q60" s="37" t="s">
        <v>116</v>
      </c>
      <c r="R60" s="458">
        <v>5</v>
      </c>
    </row>
    <row r="61" spans="1:18" ht="19.5" customHeight="1">
      <c r="A61" s="40" t="str">
        <f t="shared" ref="A61:A68" si="29">IF(B61&lt;&gt;"","NL","")</f>
        <v>NL</v>
      </c>
      <c r="B61" s="87">
        <f t="shared" ref="B61:B67" si="30">IF(C61&lt;&gt;"",B60+1,"")</f>
        <v>2</v>
      </c>
      <c r="C61" s="37" t="s">
        <v>68</v>
      </c>
      <c r="D61" s="50" t="s">
        <v>37</v>
      </c>
      <c r="E61" s="38">
        <v>0</v>
      </c>
      <c r="F61" s="38">
        <v>0</v>
      </c>
      <c r="G61" s="46">
        <f t="shared" si="24"/>
        <v>466314</v>
      </c>
      <c r="H61" s="46">
        <f t="shared" si="25"/>
        <v>7759718000</v>
      </c>
      <c r="I61" s="46">
        <f t="shared" si="26"/>
        <v>466314</v>
      </c>
      <c r="J61" s="46">
        <f t="shared" si="27"/>
        <v>7759718000</v>
      </c>
      <c r="K61" s="38">
        <f t="shared" si="28"/>
        <v>0</v>
      </c>
      <c r="L61" s="38">
        <f t="shared" si="28"/>
        <v>0</v>
      </c>
      <c r="M61" s="454" t="str">
        <f t="shared" ref="M61:M71" si="31">IF(N61&lt;&gt;"","TP","")</f>
        <v>TP</v>
      </c>
      <c r="N61" s="37" t="s">
        <v>161</v>
      </c>
      <c r="Q61" s="37" t="s">
        <v>48</v>
      </c>
      <c r="R61" s="459">
        <v>2.5</v>
      </c>
    </row>
    <row r="62" spans="1:18" ht="19.5" customHeight="1">
      <c r="A62" s="40" t="str">
        <f t="shared" si="29"/>
        <v>NL</v>
      </c>
      <c r="B62" s="87">
        <f t="shared" si="30"/>
        <v>3</v>
      </c>
      <c r="C62" s="37" t="s">
        <v>233</v>
      </c>
      <c r="D62" s="50" t="s">
        <v>37</v>
      </c>
      <c r="E62" s="38">
        <v>0</v>
      </c>
      <c r="F62" s="38">
        <v>0</v>
      </c>
      <c r="G62" s="46">
        <f t="shared" si="24"/>
        <v>117750</v>
      </c>
      <c r="H62" s="46">
        <f t="shared" si="25"/>
        <v>3120375000</v>
      </c>
      <c r="I62" s="46">
        <f t="shared" si="26"/>
        <v>117750</v>
      </c>
      <c r="J62" s="46">
        <f t="shared" si="27"/>
        <v>3120375000</v>
      </c>
      <c r="K62" s="38">
        <f t="shared" si="28"/>
        <v>0</v>
      </c>
      <c r="L62" s="38">
        <f t="shared" si="28"/>
        <v>0</v>
      </c>
      <c r="M62" s="454" t="str">
        <f t="shared" si="31"/>
        <v>TP</v>
      </c>
      <c r="N62" s="37" t="s">
        <v>162</v>
      </c>
      <c r="Q62" s="37" t="s">
        <v>96</v>
      </c>
      <c r="R62" s="459">
        <v>8</v>
      </c>
    </row>
    <row r="63" spans="1:18" ht="19.5" customHeight="1">
      <c r="A63" s="40" t="str">
        <f t="shared" si="29"/>
        <v>NL</v>
      </c>
      <c r="B63" s="87">
        <f t="shared" si="30"/>
        <v>4</v>
      </c>
      <c r="C63" s="37" t="s">
        <v>127</v>
      </c>
      <c r="D63" s="50" t="s">
        <v>37</v>
      </c>
      <c r="E63" s="38">
        <v>0</v>
      </c>
      <c r="F63" s="38">
        <v>0</v>
      </c>
      <c r="G63" s="46">
        <f t="shared" si="24"/>
        <v>4500</v>
      </c>
      <c r="H63" s="46">
        <f t="shared" si="25"/>
        <v>180000000</v>
      </c>
      <c r="I63" s="46">
        <f t="shared" si="26"/>
        <v>4500</v>
      </c>
      <c r="J63" s="46">
        <f t="shared" si="27"/>
        <v>180000000</v>
      </c>
      <c r="K63" s="38">
        <f t="shared" si="28"/>
        <v>0</v>
      </c>
      <c r="L63" s="38">
        <f t="shared" si="28"/>
        <v>0</v>
      </c>
      <c r="M63" s="454" t="str">
        <f t="shared" si="31"/>
        <v>TP</v>
      </c>
      <c r="N63" s="37" t="s">
        <v>163</v>
      </c>
      <c r="Q63" s="37" t="s">
        <v>395</v>
      </c>
      <c r="R63" s="459">
        <v>9</v>
      </c>
    </row>
    <row r="64" spans="1:18" ht="19.5" customHeight="1">
      <c r="A64" s="40" t="str">
        <f t="shared" si="29"/>
        <v>NL</v>
      </c>
      <c r="B64" s="87">
        <f t="shared" si="30"/>
        <v>5</v>
      </c>
      <c r="C64" s="37" t="s">
        <v>42</v>
      </c>
      <c r="D64" s="50" t="s">
        <v>37</v>
      </c>
      <c r="E64" s="38">
        <v>0</v>
      </c>
      <c r="F64" s="38">
        <v>0</v>
      </c>
      <c r="G64" s="46">
        <f t="shared" si="24"/>
        <v>189078</v>
      </c>
      <c r="H64" s="46">
        <f t="shared" si="25"/>
        <v>5577801000</v>
      </c>
      <c r="I64" s="46">
        <f t="shared" si="26"/>
        <v>189078</v>
      </c>
      <c r="J64" s="46">
        <f t="shared" si="27"/>
        <v>5577801000</v>
      </c>
      <c r="K64" s="38">
        <f t="shared" si="28"/>
        <v>0</v>
      </c>
      <c r="L64" s="38">
        <f t="shared" si="28"/>
        <v>0</v>
      </c>
      <c r="M64" s="454" t="str">
        <f t="shared" si="31"/>
        <v>TP</v>
      </c>
      <c r="N64" s="37" t="s">
        <v>164</v>
      </c>
      <c r="Q64" s="37" t="s">
        <v>113</v>
      </c>
      <c r="R64" s="459">
        <v>8</v>
      </c>
    </row>
    <row r="65" spans="1:18" ht="19.5" customHeight="1">
      <c r="A65" s="40" t="str">
        <f t="shared" si="29"/>
        <v>NL</v>
      </c>
      <c r="B65" s="87">
        <f t="shared" si="30"/>
        <v>6</v>
      </c>
      <c r="C65" s="41" t="s">
        <v>55</v>
      </c>
      <c r="D65" s="50" t="s">
        <v>37</v>
      </c>
      <c r="E65" s="38">
        <v>0</v>
      </c>
      <c r="F65" s="38">
        <v>0</v>
      </c>
      <c r="G65" s="46">
        <f t="shared" si="24"/>
        <v>1008810</v>
      </c>
      <c r="H65" s="46">
        <f t="shared" si="25"/>
        <v>13118930000</v>
      </c>
      <c r="I65" s="46">
        <f t="shared" si="26"/>
        <v>876810</v>
      </c>
      <c r="J65" s="46">
        <f t="shared" si="27"/>
        <v>11204930000</v>
      </c>
      <c r="K65" s="38">
        <f t="shared" si="28"/>
        <v>132000</v>
      </c>
      <c r="L65" s="38">
        <f t="shared" si="28"/>
        <v>1914000000</v>
      </c>
      <c r="M65" s="454" t="str">
        <f t="shared" si="31"/>
        <v>TP</v>
      </c>
      <c r="N65" s="37" t="s">
        <v>166</v>
      </c>
      <c r="Q65" s="37" t="s">
        <v>122</v>
      </c>
      <c r="R65" s="459">
        <v>5</v>
      </c>
    </row>
    <row r="66" spans="1:18" ht="19.5" customHeight="1">
      <c r="A66" s="40" t="str">
        <f t="shared" si="29"/>
        <v>NL</v>
      </c>
      <c r="B66" s="87">
        <f t="shared" si="30"/>
        <v>7</v>
      </c>
      <c r="C66" s="37" t="s">
        <v>330</v>
      </c>
      <c r="D66" s="50" t="s">
        <v>37</v>
      </c>
      <c r="E66" s="38">
        <v>0</v>
      </c>
      <c r="F66" s="38">
        <v>0</v>
      </c>
      <c r="G66" s="46">
        <f t="shared" si="24"/>
        <v>101244</v>
      </c>
      <c r="H66" s="46">
        <f>SUMIF(DSNX1,$C66,DSNX5)</f>
        <v>1569282000</v>
      </c>
      <c r="I66" s="46">
        <f t="shared" si="26"/>
        <v>101244</v>
      </c>
      <c r="J66" s="46">
        <f t="shared" si="27"/>
        <v>1569282000</v>
      </c>
      <c r="K66" s="38">
        <f t="shared" si="28"/>
        <v>0</v>
      </c>
      <c r="L66" s="38">
        <f t="shared" si="28"/>
        <v>0</v>
      </c>
      <c r="M66" s="454" t="str">
        <f t="shared" si="31"/>
        <v>TP</v>
      </c>
      <c r="N66" s="37" t="s">
        <v>332</v>
      </c>
      <c r="Q66" s="37" t="s">
        <v>121</v>
      </c>
      <c r="R66" s="459">
        <v>5</v>
      </c>
    </row>
    <row r="67" spans="1:18" ht="19.5" customHeight="1">
      <c r="A67" s="40" t="str">
        <f t="shared" si="29"/>
        <v>NL</v>
      </c>
      <c r="B67" s="87">
        <f t="shared" si="30"/>
        <v>8</v>
      </c>
      <c r="C67" s="37" t="s">
        <v>387</v>
      </c>
      <c r="D67" s="50" t="s">
        <v>37</v>
      </c>
      <c r="E67" s="38">
        <v>0</v>
      </c>
      <c r="F67" s="38">
        <v>0</v>
      </c>
      <c r="G67" s="46">
        <f t="shared" si="24"/>
        <v>57300</v>
      </c>
      <c r="H67" s="46">
        <f t="shared" si="25"/>
        <v>1382400000</v>
      </c>
      <c r="I67" s="46">
        <f t="shared" si="26"/>
        <v>57300</v>
      </c>
      <c r="J67" s="46">
        <f t="shared" si="27"/>
        <v>1382400000</v>
      </c>
      <c r="K67" s="38">
        <f t="shared" si="28"/>
        <v>0</v>
      </c>
      <c r="L67" s="38">
        <f t="shared" si="28"/>
        <v>0</v>
      </c>
      <c r="M67" s="454" t="str">
        <f t="shared" si="31"/>
        <v>TP</v>
      </c>
      <c r="N67" s="77" t="s">
        <v>385</v>
      </c>
      <c r="Q67" s="37" t="s">
        <v>118</v>
      </c>
      <c r="R67" s="459">
        <v>5</v>
      </c>
    </row>
    <row r="68" spans="1:18" ht="19.5" customHeight="1">
      <c r="A68" s="40" t="str">
        <f t="shared" si="29"/>
        <v/>
      </c>
      <c r="B68" s="87" t="str">
        <f t="shared" ref="B68" si="32">IF(C68&lt;&gt;"",B67+1,"")</f>
        <v/>
      </c>
      <c r="C68" s="37"/>
      <c r="D68" s="50" t="s">
        <v>37</v>
      </c>
      <c r="E68" s="38">
        <v>0</v>
      </c>
      <c r="F68" s="38">
        <v>0</v>
      </c>
      <c r="G68" s="46">
        <f t="shared" si="24"/>
        <v>0</v>
      </c>
      <c r="H68" s="46">
        <f t="shared" si="25"/>
        <v>0</v>
      </c>
      <c r="I68" s="46">
        <f t="shared" si="26"/>
        <v>0</v>
      </c>
      <c r="J68" s="46">
        <f t="shared" si="27"/>
        <v>0</v>
      </c>
      <c r="K68" s="38">
        <f t="shared" ref="K68" si="33">E68+G68-I68</f>
        <v>0</v>
      </c>
      <c r="L68" s="38">
        <f t="shared" ref="L68" si="34">F68+H68-J68</f>
        <v>0</v>
      </c>
      <c r="M68" s="454" t="str">
        <f t="shared" si="31"/>
        <v>TP</v>
      </c>
      <c r="N68" s="77" t="s">
        <v>386</v>
      </c>
      <c r="Q68" s="37" t="s">
        <v>120</v>
      </c>
      <c r="R68" s="459">
        <v>4.5</v>
      </c>
    </row>
    <row r="69" spans="1:18" ht="19.5" customHeight="1">
      <c r="A69" s="40" t="str">
        <f t="shared" ref="A69:A70" si="35">IF(B70&lt;&gt;"","NL","")</f>
        <v/>
      </c>
      <c r="B69" s="87" t="str">
        <f>IF(C69&lt;&gt;"",#REF!+1,"")</f>
        <v/>
      </c>
      <c r="C69" s="47"/>
      <c r="D69" s="53"/>
      <c r="E69" s="49"/>
      <c r="F69" s="49"/>
      <c r="G69" s="49"/>
      <c r="H69" s="49"/>
      <c r="I69" s="49"/>
      <c r="J69" s="49"/>
      <c r="K69" s="38"/>
      <c r="L69" s="38"/>
      <c r="M69" s="454" t="str">
        <f t="shared" si="31"/>
        <v>TP</v>
      </c>
      <c r="N69" s="77" t="s">
        <v>393</v>
      </c>
      <c r="Q69" s="37" t="s">
        <v>119</v>
      </c>
      <c r="R69" s="459">
        <v>4.5</v>
      </c>
    </row>
    <row r="70" spans="1:18" ht="18" customHeight="1">
      <c r="A70" s="40" t="str">
        <f t="shared" si="35"/>
        <v/>
      </c>
      <c r="B70" s="39"/>
      <c r="C70" s="39" t="s">
        <v>70</v>
      </c>
      <c r="D70" s="45"/>
      <c r="E70" s="36">
        <v>0</v>
      </c>
      <c r="F70" s="36">
        <v>0</v>
      </c>
      <c r="G70" s="36">
        <f t="shared" ref="G70:L70" si="36">SUM(G60:G67)</f>
        <v>2230244</v>
      </c>
      <c r="H70" s="36">
        <f t="shared" si="36"/>
        <v>37348730000</v>
      </c>
      <c r="I70" s="36">
        <f t="shared" si="36"/>
        <v>2051844</v>
      </c>
      <c r="J70" s="36">
        <f t="shared" si="36"/>
        <v>34576330000</v>
      </c>
      <c r="K70" s="36">
        <f t="shared" si="36"/>
        <v>178400</v>
      </c>
      <c r="L70" s="36">
        <f t="shared" si="36"/>
        <v>2772400000</v>
      </c>
      <c r="M70" s="454" t="str">
        <f t="shared" si="31"/>
        <v>TP</v>
      </c>
      <c r="N70" s="47" t="s">
        <v>394</v>
      </c>
      <c r="Q70" s="37" t="s">
        <v>165</v>
      </c>
      <c r="R70" s="459">
        <v>11</v>
      </c>
    </row>
    <row r="71" spans="1:18" ht="18" customHeight="1">
      <c r="A71" s="40"/>
      <c r="B71" s="74"/>
      <c r="C71" s="74"/>
      <c r="D71" s="75"/>
      <c r="E71" s="76">
        <v>0</v>
      </c>
      <c r="F71" s="76">
        <f>[2]CDPS!$C$21</f>
        <v>0</v>
      </c>
      <c r="G71" s="76">
        <f>F70-F71</f>
        <v>0</v>
      </c>
      <c r="H71" s="76">
        <f>[3]CDPS!$E$21</f>
        <v>37348730000</v>
      </c>
      <c r="I71" s="76">
        <f>H70-H71</f>
        <v>0</v>
      </c>
      <c r="J71" s="76">
        <f>[3]CDPS!$F$21</f>
        <v>34576330000</v>
      </c>
      <c r="K71" s="76">
        <f>J70-J71</f>
        <v>0</v>
      </c>
      <c r="L71" s="76"/>
      <c r="M71" s="454" t="str">
        <f t="shared" si="31"/>
        <v/>
      </c>
      <c r="N71" s="86"/>
      <c r="Q71" s="37" t="s">
        <v>382</v>
      </c>
      <c r="R71" s="459">
        <v>11</v>
      </c>
    </row>
    <row r="72" spans="1:18" ht="18.75" customHeight="1">
      <c r="A72" s="40" t="str">
        <f>IF(B72&lt;&gt;"","TP","")</f>
        <v>TP</v>
      </c>
      <c r="B72" s="73">
        <f>IF(C72&lt;&gt;"",ROW()-(ROW()-1),"")</f>
        <v>1</v>
      </c>
      <c r="C72" s="41" t="s">
        <v>126</v>
      </c>
      <c r="D72" s="458" t="s">
        <v>37</v>
      </c>
      <c r="E72" s="46">
        <v>25350</v>
      </c>
      <c r="F72" s="46">
        <v>3267739679</v>
      </c>
      <c r="G72" s="46">
        <f t="shared" ref="G72:G88" si="37">SUMIFS(DSNX2,DSNX1,$C72,DSNX8,"Bộ phận SX")</f>
        <v>48000</v>
      </c>
      <c r="H72" s="46">
        <f t="shared" ref="H72:H88" si="38">SUMIFS(DSNX5,DSNX1,$C72,DSNX8,"Bộ phận SX")</f>
        <v>4374300706</v>
      </c>
      <c r="I72" s="46">
        <f t="shared" ref="I72:I88" si="39">SUMIFS(DSNX3,DSNX1,$C72,DSNX6,"632")</f>
        <v>68625</v>
      </c>
      <c r="J72" s="46">
        <f t="shared" ref="J72:J88" si="40">SUMIFS(DSNX4,DSNX1,$C72,DSNX6,"632")</f>
        <v>7041576850</v>
      </c>
      <c r="K72" s="46">
        <f t="shared" ref="K72:K84" si="41">E72+G72-I72</f>
        <v>4725</v>
      </c>
      <c r="L72" s="46">
        <f t="shared" ref="L72:L84" si="42">F72+H72-J72</f>
        <v>600463535</v>
      </c>
      <c r="M72" s="454" t="str">
        <f>IF(N72&lt;&gt;"","VL","")</f>
        <v>VL</v>
      </c>
      <c r="N72" s="86" t="s">
        <v>146</v>
      </c>
      <c r="Q72" s="37" t="s">
        <v>331</v>
      </c>
      <c r="R72" s="459">
        <v>4.4000000000000004</v>
      </c>
    </row>
    <row r="73" spans="1:18" ht="18.75" customHeight="1">
      <c r="A73" s="40" t="str">
        <f t="shared" ref="A73:A89" si="43">IF(B73&lt;&gt;"","TP","")</f>
        <v>TP</v>
      </c>
      <c r="B73" s="72">
        <f>IF(C73&lt;&gt;"",B72+1,"")</f>
        <v>2</v>
      </c>
      <c r="C73" s="37" t="s">
        <v>114</v>
      </c>
      <c r="D73" s="458" t="s">
        <v>37</v>
      </c>
      <c r="E73" s="38">
        <v>34000</v>
      </c>
      <c r="F73" s="38">
        <v>4772602629</v>
      </c>
      <c r="G73" s="46">
        <f t="shared" si="37"/>
        <v>23550</v>
      </c>
      <c r="H73" s="46">
        <f t="shared" si="38"/>
        <v>3354455174</v>
      </c>
      <c r="I73" s="46">
        <f t="shared" si="39"/>
        <v>25875</v>
      </c>
      <c r="J73" s="46">
        <f t="shared" si="40"/>
        <v>3636502332</v>
      </c>
      <c r="K73" s="38">
        <f t="shared" si="41"/>
        <v>31675</v>
      </c>
      <c r="L73" s="38">
        <f t="shared" si="42"/>
        <v>4490555471</v>
      </c>
      <c r="M73" s="454" t="str">
        <f t="shared" ref="M73:M91" si="44">IF(N73&lt;&gt;"","VL","")</f>
        <v>VL</v>
      </c>
      <c r="N73" s="37" t="s">
        <v>147</v>
      </c>
      <c r="Q73" s="37" t="s">
        <v>381</v>
      </c>
      <c r="R73" s="459">
        <v>4.5</v>
      </c>
    </row>
    <row r="74" spans="1:18" ht="18.75" customHeight="1">
      <c r="A74" s="40" t="str">
        <f t="shared" si="43"/>
        <v>TP</v>
      </c>
      <c r="B74" s="72">
        <f t="shared" ref="B74:B88" si="45">IF(C74&lt;&gt;"",B73+1,"")</f>
        <v>3</v>
      </c>
      <c r="C74" s="37" t="s">
        <v>115</v>
      </c>
      <c r="D74" s="458" t="s">
        <v>37</v>
      </c>
      <c r="E74" s="38">
        <v>37487</v>
      </c>
      <c r="F74" s="38">
        <v>5734035440</v>
      </c>
      <c r="G74" s="46">
        <f t="shared" si="37"/>
        <v>0</v>
      </c>
      <c r="H74" s="46">
        <f t="shared" si="38"/>
        <v>0</v>
      </c>
      <c r="I74" s="46">
        <f t="shared" si="39"/>
        <v>16500</v>
      </c>
      <c r="J74" s="46">
        <f t="shared" si="40"/>
        <v>2562995727</v>
      </c>
      <c r="K74" s="38">
        <f t="shared" si="41"/>
        <v>20987</v>
      </c>
      <c r="L74" s="38">
        <f t="shared" si="42"/>
        <v>3171039713</v>
      </c>
      <c r="M74" s="454" t="str">
        <f t="shared" si="44"/>
        <v>VL</v>
      </c>
      <c r="N74" s="37" t="s">
        <v>149</v>
      </c>
    </row>
    <row r="75" spans="1:18" ht="18.75" customHeight="1">
      <c r="A75" s="40" t="str">
        <f t="shared" si="43"/>
        <v>TP</v>
      </c>
      <c r="B75" s="72">
        <f t="shared" si="45"/>
        <v>4</v>
      </c>
      <c r="C75" s="37" t="s">
        <v>116</v>
      </c>
      <c r="D75" s="458" t="s">
        <v>37</v>
      </c>
      <c r="E75" s="38">
        <v>122</v>
      </c>
      <c r="F75" s="38">
        <v>17080000</v>
      </c>
      <c r="G75" s="46">
        <f t="shared" si="37"/>
        <v>0</v>
      </c>
      <c r="H75" s="46">
        <f t="shared" si="38"/>
        <v>0</v>
      </c>
      <c r="I75" s="46">
        <f t="shared" si="39"/>
        <v>0</v>
      </c>
      <c r="J75" s="46">
        <f t="shared" si="40"/>
        <v>0</v>
      </c>
      <c r="K75" s="38">
        <f t="shared" si="41"/>
        <v>122</v>
      </c>
      <c r="L75" s="38">
        <f t="shared" si="42"/>
        <v>17080000</v>
      </c>
      <c r="M75" s="454" t="str">
        <f t="shared" si="44"/>
        <v>VL</v>
      </c>
      <c r="N75" s="37" t="s">
        <v>148</v>
      </c>
    </row>
    <row r="76" spans="1:18" ht="19.5" customHeight="1">
      <c r="A76" s="40" t="str">
        <f t="shared" si="43"/>
        <v>TP</v>
      </c>
      <c r="B76" s="72">
        <f t="shared" si="45"/>
        <v>5</v>
      </c>
      <c r="C76" s="37" t="s">
        <v>48</v>
      </c>
      <c r="D76" s="458" t="s">
        <v>37</v>
      </c>
      <c r="E76" s="38">
        <v>16075</v>
      </c>
      <c r="F76" s="38">
        <v>1107185105</v>
      </c>
      <c r="G76" s="46">
        <f t="shared" si="37"/>
        <v>0</v>
      </c>
      <c r="H76" s="46">
        <f t="shared" si="38"/>
        <v>0</v>
      </c>
      <c r="I76" s="46">
        <f t="shared" si="39"/>
        <v>0</v>
      </c>
      <c r="J76" s="46">
        <f t="shared" si="40"/>
        <v>0</v>
      </c>
      <c r="K76" s="38">
        <f t="shared" si="41"/>
        <v>16075</v>
      </c>
      <c r="L76" s="38">
        <f t="shared" si="42"/>
        <v>1107185105</v>
      </c>
      <c r="M76" s="454" t="str">
        <f t="shared" si="44"/>
        <v>VL</v>
      </c>
      <c r="N76" s="37" t="s">
        <v>150</v>
      </c>
    </row>
    <row r="77" spans="1:18" ht="18.75" customHeight="1">
      <c r="A77" s="40" t="str">
        <f>IF(B77&lt;&gt;"","TP","")</f>
        <v>TP</v>
      </c>
      <c r="B77" s="72">
        <f t="shared" si="45"/>
        <v>6</v>
      </c>
      <c r="C77" s="37" t="s">
        <v>96</v>
      </c>
      <c r="D77" s="458" t="s">
        <v>37</v>
      </c>
      <c r="E77" s="38">
        <v>4560</v>
      </c>
      <c r="F77" s="38">
        <v>1006731109</v>
      </c>
      <c r="G77" s="46">
        <f t="shared" si="37"/>
        <v>3000</v>
      </c>
      <c r="H77" s="46">
        <f t="shared" si="38"/>
        <v>632093128</v>
      </c>
      <c r="I77" s="46">
        <f t="shared" si="39"/>
        <v>7560</v>
      </c>
      <c r="J77" s="46">
        <f t="shared" si="40"/>
        <v>1638824237</v>
      </c>
      <c r="K77" s="38">
        <f>E77+G77-I77</f>
        <v>0</v>
      </c>
      <c r="L77" s="38">
        <f>F77+H77-J77</f>
        <v>0</v>
      </c>
      <c r="M77" s="454" t="str">
        <f t="shared" si="44"/>
        <v>VL</v>
      </c>
      <c r="N77" s="37" t="s">
        <v>152</v>
      </c>
    </row>
    <row r="78" spans="1:18" ht="18.75" customHeight="1">
      <c r="A78" s="40" t="str">
        <f>IF(B78&lt;&gt;"","TP","")</f>
        <v>TP</v>
      </c>
      <c r="B78" s="72">
        <f t="shared" si="45"/>
        <v>7</v>
      </c>
      <c r="C78" s="37" t="s">
        <v>395</v>
      </c>
      <c r="D78" s="458" t="s">
        <v>37</v>
      </c>
      <c r="E78" s="38">
        <v>0</v>
      </c>
      <c r="F78" s="38">
        <v>0</v>
      </c>
      <c r="G78" s="46">
        <f t="shared" si="37"/>
        <v>3700</v>
      </c>
      <c r="H78" s="46">
        <f t="shared" si="38"/>
        <v>864594023</v>
      </c>
      <c r="I78" s="46">
        <f t="shared" si="39"/>
        <v>3700</v>
      </c>
      <c r="J78" s="46">
        <f t="shared" si="40"/>
        <v>864594023</v>
      </c>
      <c r="K78" s="38">
        <f>E78+G78-I78</f>
        <v>0</v>
      </c>
      <c r="L78" s="38">
        <f>F78+H78-J78</f>
        <v>0</v>
      </c>
      <c r="M78" s="454" t="str">
        <f t="shared" si="44"/>
        <v>VL</v>
      </c>
      <c r="N78" s="37" t="s">
        <v>151</v>
      </c>
    </row>
    <row r="79" spans="1:18" ht="19.5" customHeight="1">
      <c r="A79" s="40" t="str">
        <f t="shared" si="43"/>
        <v>TP</v>
      </c>
      <c r="B79" s="72">
        <f t="shared" si="45"/>
        <v>8</v>
      </c>
      <c r="C79" s="37" t="s">
        <v>113</v>
      </c>
      <c r="D79" s="458" t="s">
        <v>37</v>
      </c>
      <c r="E79" s="38">
        <v>0</v>
      </c>
      <c r="F79" s="38">
        <v>0</v>
      </c>
      <c r="G79" s="46">
        <f t="shared" si="37"/>
        <v>29856</v>
      </c>
      <c r="H79" s="46">
        <f t="shared" si="38"/>
        <v>4479266606</v>
      </c>
      <c r="I79" s="46">
        <f t="shared" si="39"/>
        <v>29856</v>
      </c>
      <c r="J79" s="46">
        <f t="shared" si="40"/>
        <v>4479266606</v>
      </c>
      <c r="K79" s="38">
        <f t="shared" si="41"/>
        <v>0</v>
      </c>
      <c r="L79" s="38">
        <f t="shared" si="42"/>
        <v>0</v>
      </c>
      <c r="M79" s="454" t="str">
        <f t="shared" si="44"/>
        <v>VL</v>
      </c>
      <c r="N79" s="77" t="s">
        <v>275</v>
      </c>
    </row>
    <row r="80" spans="1:18" ht="19.5" customHeight="1">
      <c r="A80" s="40" t="str">
        <f t="shared" si="43"/>
        <v>TP</v>
      </c>
      <c r="B80" s="72">
        <f t="shared" si="45"/>
        <v>9</v>
      </c>
      <c r="C80" s="37" t="s">
        <v>122</v>
      </c>
      <c r="D80" s="458" t="s">
        <v>37</v>
      </c>
      <c r="E80" s="38">
        <v>0</v>
      </c>
      <c r="F80" s="38">
        <v>0</v>
      </c>
      <c r="G80" s="46">
        <f t="shared" si="37"/>
        <v>8952</v>
      </c>
      <c r="H80" s="46">
        <f t="shared" si="38"/>
        <v>1555916339</v>
      </c>
      <c r="I80" s="46">
        <f t="shared" si="39"/>
        <v>8952</v>
      </c>
      <c r="J80" s="46">
        <f t="shared" si="40"/>
        <v>1555916339</v>
      </c>
      <c r="K80" s="38">
        <f t="shared" si="41"/>
        <v>0</v>
      </c>
      <c r="L80" s="38">
        <f t="shared" si="42"/>
        <v>0</v>
      </c>
      <c r="M80" s="454" t="str">
        <f t="shared" si="44"/>
        <v>VL</v>
      </c>
      <c r="N80" s="37" t="s">
        <v>383</v>
      </c>
    </row>
    <row r="81" spans="1:15" ht="19.5" customHeight="1">
      <c r="A81" s="40" t="str">
        <f t="shared" si="43"/>
        <v>TP</v>
      </c>
      <c r="B81" s="72">
        <f t="shared" si="45"/>
        <v>10</v>
      </c>
      <c r="C81" s="37" t="s">
        <v>121</v>
      </c>
      <c r="D81" s="458" t="s">
        <v>37</v>
      </c>
      <c r="E81" s="38">
        <v>0</v>
      </c>
      <c r="F81" s="38">
        <v>0</v>
      </c>
      <c r="G81" s="46">
        <f t="shared" si="37"/>
        <v>11826</v>
      </c>
      <c r="H81" s="46">
        <f t="shared" si="38"/>
        <v>2053061131</v>
      </c>
      <c r="I81" s="46">
        <f t="shared" si="39"/>
        <v>11826</v>
      </c>
      <c r="J81" s="46">
        <f t="shared" si="40"/>
        <v>2053061131</v>
      </c>
      <c r="K81" s="38">
        <f t="shared" si="41"/>
        <v>0</v>
      </c>
      <c r="L81" s="38">
        <f t="shared" si="42"/>
        <v>0</v>
      </c>
      <c r="M81" s="454" t="str">
        <f t="shared" si="44"/>
        <v>VL</v>
      </c>
      <c r="N81" s="37" t="s">
        <v>384</v>
      </c>
    </row>
    <row r="82" spans="1:15" ht="19.5" customHeight="1">
      <c r="A82" s="40" t="str">
        <f t="shared" si="43"/>
        <v>TP</v>
      </c>
      <c r="B82" s="72">
        <f t="shared" si="45"/>
        <v>11</v>
      </c>
      <c r="C82" s="37" t="s">
        <v>118</v>
      </c>
      <c r="D82" s="458" t="s">
        <v>37</v>
      </c>
      <c r="E82" s="38">
        <v>0</v>
      </c>
      <c r="F82" s="38">
        <v>0</v>
      </c>
      <c r="G82" s="46">
        <f t="shared" si="37"/>
        <v>16920</v>
      </c>
      <c r="H82" s="46">
        <f t="shared" si="38"/>
        <v>2854439550</v>
      </c>
      <c r="I82" s="46">
        <f t="shared" si="39"/>
        <v>16920</v>
      </c>
      <c r="J82" s="46">
        <f t="shared" si="40"/>
        <v>2854439550</v>
      </c>
      <c r="K82" s="38">
        <f t="shared" si="41"/>
        <v>0</v>
      </c>
      <c r="L82" s="38">
        <f t="shared" si="42"/>
        <v>0</v>
      </c>
      <c r="M82" s="454" t="str">
        <f t="shared" si="44"/>
        <v>VL</v>
      </c>
      <c r="N82" s="77" t="s">
        <v>389</v>
      </c>
    </row>
    <row r="83" spans="1:15" ht="19.5" customHeight="1">
      <c r="A83" s="40" t="str">
        <f t="shared" si="43"/>
        <v>TP</v>
      </c>
      <c r="B83" s="72">
        <f t="shared" si="45"/>
        <v>12</v>
      </c>
      <c r="C83" s="37" t="s">
        <v>120</v>
      </c>
      <c r="D83" s="458" t="s">
        <v>37</v>
      </c>
      <c r="E83" s="38">
        <v>0</v>
      </c>
      <c r="F83" s="38">
        <v>0</v>
      </c>
      <c r="G83" s="46">
        <f t="shared" si="37"/>
        <v>9225</v>
      </c>
      <c r="H83" s="46">
        <f t="shared" si="38"/>
        <v>1214946217</v>
      </c>
      <c r="I83" s="46">
        <f t="shared" si="39"/>
        <v>9225</v>
      </c>
      <c r="J83" s="46">
        <f t="shared" si="40"/>
        <v>1214946217</v>
      </c>
      <c r="K83" s="38">
        <f t="shared" si="41"/>
        <v>0</v>
      </c>
      <c r="L83" s="38">
        <f t="shared" si="42"/>
        <v>0</v>
      </c>
      <c r="M83" s="454" t="str">
        <f t="shared" si="44"/>
        <v>VL</v>
      </c>
      <c r="N83" s="77" t="s">
        <v>229</v>
      </c>
    </row>
    <row r="84" spans="1:15" ht="19.5" customHeight="1">
      <c r="A84" s="40" t="str">
        <f t="shared" si="43"/>
        <v>TP</v>
      </c>
      <c r="B84" s="72">
        <f t="shared" si="45"/>
        <v>13</v>
      </c>
      <c r="C84" s="37" t="s">
        <v>119</v>
      </c>
      <c r="D84" s="458" t="s">
        <v>37</v>
      </c>
      <c r="E84" s="38">
        <v>0</v>
      </c>
      <c r="F84" s="38">
        <v>0</v>
      </c>
      <c r="G84" s="46">
        <f t="shared" si="37"/>
        <v>12700</v>
      </c>
      <c r="H84" s="46">
        <f t="shared" si="38"/>
        <v>1665036792</v>
      </c>
      <c r="I84" s="46">
        <f t="shared" si="39"/>
        <v>12700</v>
      </c>
      <c r="J84" s="46">
        <f t="shared" si="40"/>
        <v>1665036792</v>
      </c>
      <c r="K84" s="38">
        <f t="shared" si="41"/>
        <v>0</v>
      </c>
      <c r="L84" s="38">
        <f t="shared" si="42"/>
        <v>0</v>
      </c>
      <c r="M84" s="454" t="str">
        <f t="shared" si="44"/>
        <v>VL</v>
      </c>
      <c r="N84" s="77" t="s">
        <v>153</v>
      </c>
    </row>
    <row r="85" spans="1:15" ht="19.5" customHeight="1">
      <c r="A85" s="40" t="str">
        <f t="shared" si="43"/>
        <v>TP</v>
      </c>
      <c r="B85" s="72">
        <f t="shared" si="45"/>
        <v>14</v>
      </c>
      <c r="C85" s="37" t="s">
        <v>165</v>
      </c>
      <c r="D85" s="458" t="s">
        <v>37</v>
      </c>
      <c r="E85" s="38">
        <v>0</v>
      </c>
      <c r="F85" s="38">
        <v>0</v>
      </c>
      <c r="G85" s="46">
        <f t="shared" si="37"/>
        <v>19910</v>
      </c>
      <c r="H85" s="46">
        <f t="shared" si="38"/>
        <v>4182634664</v>
      </c>
      <c r="I85" s="46">
        <f t="shared" si="39"/>
        <v>19910</v>
      </c>
      <c r="J85" s="46">
        <f t="shared" si="40"/>
        <v>4182634664</v>
      </c>
      <c r="K85" s="38">
        <f t="shared" ref="K85:L88" si="46">E85+G85-I85</f>
        <v>0</v>
      </c>
      <c r="L85" s="38">
        <f t="shared" si="46"/>
        <v>0</v>
      </c>
      <c r="M85" s="454" t="str">
        <f t="shared" si="44"/>
        <v>VL</v>
      </c>
      <c r="N85" s="77" t="s">
        <v>398</v>
      </c>
    </row>
    <row r="86" spans="1:15" ht="19.5" customHeight="1">
      <c r="A86" s="40" t="str">
        <f t="shared" si="43"/>
        <v>TP</v>
      </c>
      <c r="B86" s="72">
        <f t="shared" si="45"/>
        <v>15</v>
      </c>
      <c r="C86" s="37" t="s">
        <v>382</v>
      </c>
      <c r="D86" s="458" t="s">
        <v>37</v>
      </c>
      <c r="E86" s="38">
        <v>0</v>
      </c>
      <c r="F86" s="38">
        <v>0</v>
      </c>
      <c r="G86" s="46">
        <f t="shared" si="37"/>
        <v>59800</v>
      </c>
      <c r="H86" s="46">
        <f t="shared" si="38"/>
        <v>9407825440</v>
      </c>
      <c r="I86" s="46">
        <f t="shared" si="39"/>
        <v>59800</v>
      </c>
      <c r="J86" s="46">
        <f t="shared" si="40"/>
        <v>9407825440</v>
      </c>
      <c r="K86" s="38">
        <f t="shared" si="46"/>
        <v>0</v>
      </c>
      <c r="L86" s="38">
        <f t="shared" si="46"/>
        <v>0</v>
      </c>
      <c r="M86" s="454" t="str">
        <f t="shared" si="44"/>
        <v/>
      </c>
      <c r="N86" s="37"/>
    </row>
    <row r="87" spans="1:15" ht="19.5" customHeight="1">
      <c r="A87" s="40" t="str">
        <f t="shared" si="43"/>
        <v>TP</v>
      </c>
      <c r="B87" s="72">
        <f t="shared" si="45"/>
        <v>16</v>
      </c>
      <c r="C87" s="37" t="s">
        <v>331</v>
      </c>
      <c r="D87" s="458" t="s">
        <v>37</v>
      </c>
      <c r="E87" s="38">
        <v>0</v>
      </c>
      <c r="F87" s="38">
        <v>0</v>
      </c>
      <c r="G87" s="46">
        <f t="shared" si="37"/>
        <v>23010</v>
      </c>
      <c r="H87" s="46">
        <f t="shared" si="38"/>
        <v>1853259230</v>
      </c>
      <c r="I87" s="46">
        <f t="shared" si="39"/>
        <v>23010</v>
      </c>
      <c r="J87" s="46">
        <f t="shared" si="40"/>
        <v>1853259230</v>
      </c>
      <c r="K87" s="38">
        <f t="shared" si="46"/>
        <v>0</v>
      </c>
      <c r="L87" s="38">
        <f t="shared" si="46"/>
        <v>0</v>
      </c>
      <c r="M87" s="454" t="str">
        <f t="shared" si="44"/>
        <v/>
      </c>
      <c r="N87" s="37"/>
    </row>
    <row r="88" spans="1:15" ht="19.5" customHeight="1">
      <c r="A88" s="40" t="str">
        <f t="shared" si="43"/>
        <v>TP</v>
      </c>
      <c r="B88" s="72">
        <f t="shared" si="45"/>
        <v>17</v>
      </c>
      <c r="C88" s="37" t="s">
        <v>381</v>
      </c>
      <c r="D88" s="458" t="s">
        <v>37</v>
      </c>
      <c r="E88" s="38">
        <v>0</v>
      </c>
      <c r="F88" s="38">
        <v>0</v>
      </c>
      <c r="G88" s="46">
        <f t="shared" si="37"/>
        <v>35200</v>
      </c>
      <c r="H88" s="46">
        <f t="shared" si="38"/>
        <v>1975576060</v>
      </c>
      <c r="I88" s="46">
        <f t="shared" si="39"/>
        <v>35200</v>
      </c>
      <c r="J88" s="46">
        <f t="shared" si="40"/>
        <v>1975576060</v>
      </c>
      <c r="K88" s="38">
        <f t="shared" si="46"/>
        <v>0</v>
      </c>
      <c r="L88" s="38">
        <f t="shared" si="46"/>
        <v>0</v>
      </c>
      <c r="M88" s="454" t="str">
        <f t="shared" si="44"/>
        <v/>
      </c>
      <c r="N88" s="77"/>
    </row>
    <row r="89" spans="1:15" ht="19.5" customHeight="1">
      <c r="A89" s="40" t="str">
        <f t="shared" si="43"/>
        <v/>
      </c>
      <c r="B89" s="72" t="str">
        <f>IF(C89&lt;&gt;"",B87+1,"")</f>
        <v/>
      </c>
      <c r="C89" s="48"/>
      <c r="D89" s="53"/>
      <c r="E89" s="38"/>
      <c r="F89" s="38"/>
      <c r="G89" s="49"/>
      <c r="H89" s="49"/>
      <c r="I89" s="49"/>
      <c r="J89" s="49"/>
      <c r="K89" s="49"/>
      <c r="L89" s="49"/>
      <c r="M89" s="454" t="str">
        <f t="shared" si="44"/>
        <v>VL</v>
      </c>
      <c r="N89" s="78">
        <v>5778868457</v>
      </c>
      <c r="O89" s="35" t="s">
        <v>396</v>
      </c>
    </row>
    <row r="90" spans="1:15" ht="19.5" customHeight="1">
      <c r="A90" s="40" t="str">
        <f>IF(B91&lt;&gt;"","TP","")</f>
        <v/>
      </c>
      <c r="B90" s="39"/>
      <c r="C90" s="39" t="s">
        <v>71</v>
      </c>
      <c r="D90" s="45"/>
      <c r="E90" s="36">
        <v>117594</v>
      </c>
      <c r="F90" s="36">
        <v>15905373962</v>
      </c>
      <c r="G90" s="36">
        <f t="shared" ref="G90:L90" si="47">SUM(G72:G89)</f>
        <v>305649</v>
      </c>
      <c r="H90" s="36">
        <f t="shared" si="47"/>
        <v>40467405060</v>
      </c>
      <c r="I90" s="36">
        <f t="shared" si="47"/>
        <v>349659</v>
      </c>
      <c r="J90" s="36">
        <f t="shared" si="47"/>
        <v>46986455198</v>
      </c>
      <c r="K90" s="36">
        <f t="shared" si="47"/>
        <v>73584</v>
      </c>
      <c r="L90" s="36">
        <f t="shared" si="47"/>
        <v>9386323824</v>
      </c>
      <c r="M90" s="454" t="str">
        <f t="shared" si="44"/>
        <v/>
      </c>
      <c r="N90" s="77"/>
    </row>
    <row r="91" spans="1:15" ht="19.5" customHeight="1">
      <c r="B91" s="65"/>
      <c r="C91" s="65"/>
      <c r="D91" s="66"/>
      <c r="E91" s="67"/>
      <c r="F91" s="67">
        <f>[2]CDPS!$C$26</f>
        <v>15905373962</v>
      </c>
      <c r="G91" s="67">
        <f>F90-F91</f>
        <v>0</v>
      </c>
      <c r="H91" s="67">
        <f>[3]CDPS!$E$26</f>
        <v>0</v>
      </c>
      <c r="I91" s="67">
        <f>H90-H91+N89</f>
        <v>46246273517</v>
      </c>
      <c r="J91" s="67">
        <f>[3]CDPS!$F$26</f>
        <v>0</v>
      </c>
      <c r="K91" s="67">
        <f>J90-J91+N89</f>
        <v>52765323655</v>
      </c>
      <c r="L91" s="67"/>
      <c r="M91" s="454" t="str">
        <f t="shared" si="44"/>
        <v/>
      </c>
      <c r="N91" s="41"/>
    </row>
    <row r="92" spans="1:15" ht="15">
      <c r="M92" s="455"/>
      <c r="N92" s="71"/>
    </row>
    <row r="93" spans="1:15" ht="15">
      <c r="M93" s="455"/>
      <c r="N93" s="71"/>
    </row>
    <row r="94" spans="1:15" ht="15">
      <c r="C94" s="501"/>
      <c r="D94" s="501"/>
      <c r="E94" s="501"/>
      <c r="F94" s="147"/>
      <c r="G94" s="147"/>
      <c r="H94" s="147"/>
      <c r="I94" s="147"/>
      <c r="J94" s="501" t="s">
        <v>132</v>
      </c>
      <c r="K94" s="501"/>
      <c r="L94" s="501"/>
      <c r="N94" s="71"/>
    </row>
    <row r="95" spans="1:15" ht="15">
      <c r="C95" s="277" t="s">
        <v>23</v>
      </c>
      <c r="D95" s="277"/>
      <c r="E95" s="277"/>
      <c r="F95" s="501" t="s">
        <v>24</v>
      </c>
      <c r="G95" s="501"/>
      <c r="H95" s="501"/>
      <c r="I95" s="147"/>
      <c r="J95" s="501" t="s">
        <v>25</v>
      </c>
      <c r="K95" s="501"/>
      <c r="L95" s="501"/>
      <c r="N95" s="71"/>
    </row>
    <row r="96" spans="1:15" ht="15">
      <c r="C96" s="139" t="s">
        <v>26</v>
      </c>
      <c r="D96" s="139" t="s">
        <v>27</v>
      </c>
      <c r="E96" s="139"/>
      <c r="F96" s="501" t="s">
        <v>26</v>
      </c>
      <c r="G96" s="501"/>
      <c r="H96" s="501"/>
      <c r="I96" s="35"/>
      <c r="J96" s="501" t="s">
        <v>28</v>
      </c>
      <c r="K96" s="501"/>
      <c r="L96" s="501"/>
    </row>
    <row r="97" spans="14:14">
      <c r="N97" s="71"/>
    </row>
    <row r="98" spans="14:14">
      <c r="N98" s="71"/>
    </row>
    <row r="99" spans="14:14">
      <c r="N99" s="71"/>
    </row>
    <row r="100" spans="14:14">
      <c r="N100" s="71"/>
    </row>
    <row r="101" spans="14:14">
      <c r="N101" s="71"/>
    </row>
    <row r="102" spans="14:14">
      <c r="N102" s="71"/>
    </row>
    <row r="103" spans="14:14">
      <c r="N103" s="71"/>
    </row>
    <row r="104" spans="14:14">
      <c r="N104" s="71"/>
    </row>
    <row r="105" spans="14:14">
      <c r="N105" s="71"/>
    </row>
    <row r="106" spans="14:14">
      <c r="N106" s="71"/>
    </row>
    <row r="107" spans="14:14">
      <c r="N107" s="71"/>
    </row>
    <row r="108" spans="14:14">
      <c r="N108" s="71"/>
    </row>
    <row r="109" spans="14:14">
      <c r="N109" s="71"/>
    </row>
    <row r="110" spans="14:14">
      <c r="N110" s="71"/>
    </row>
    <row r="111" spans="14:14">
      <c r="N111" s="71"/>
    </row>
  </sheetData>
  <autoFilter ref="B11:O11"/>
  <sortState ref="C33:L52">
    <sortCondition ref="C33:C52"/>
  </sortState>
  <mergeCells count="26">
    <mergeCell ref="R8:R10"/>
    <mergeCell ref="F96:H96"/>
    <mergeCell ref="J94:L94"/>
    <mergeCell ref="J95:L95"/>
    <mergeCell ref="J96:L96"/>
    <mergeCell ref="P8:P10"/>
    <mergeCell ref="Q8:Q10"/>
    <mergeCell ref="O8:O10"/>
    <mergeCell ref="N8:N10"/>
    <mergeCell ref="K9:L9"/>
    <mergeCell ref="E8:L8"/>
    <mergeCell ref="C94:E94"/>
    <mergeCell ref="F95:H95"/>
    <mergeCell ref="H1:L1"/>
    <mergeCell ref="H2:L2"/>
    <mergeCell ref="H3:L3"/>
    <mergeCell ref="C7:L7"/>
    <mergeCell ref="B4:L4"/>
    <mergeCell ref="B5:L5"/>
    <mergeCell ref="B6:L6"/>
    <mergeCell ref="B8:B10"/>
    <mergeCell ref="G9:H9"/>
    <mergeCell ref="I9:J9"/>
    <mergeCell ref="C8:C10"/>
    <mergeCell ref="D8:D9"/>
    <mergeCell ref="E9:F9"/>
  </mergeCells>
  <phoneticPr fontId="30" type="noConversion"/>
  <dataValidations count="2">
    <dataValidation type="list" allowBlank="1" showInputMessage="1" showErrorMessage="1" sqref="N84">
      <formula1>Loai3</formula1>
    </dataValidation>
    <dataValidation type="list" allowBlank="1" showInputMessage="1" showErrorMessage="1" sqref="N85">
      <formula1>IF(RIGHT(K85,2)="NL",DSKH2,DSKH1)</formula1>
    </dataValidation>
  </dataValidations>
  <pageMargins left="0.71" right="0" top="0" bottom="0" header="0" footer="0"/>
  <pageSetup scale="9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33"/>
  </sheetPr>
  <dimension ref="A1:P35"/>
  <sheetViews>
    <sheetView workbookViewId="0">
      <pane ySplit="35" topLeftCell="A36" activePane="bottomLeft" state="frozen"/>
      <selection pane="bottomLeft" activeCell="N6" sqref="N6"/>
    </sheetView>
  </sheetViews>
  <sheetFormatPr defaultRowHeight="12"/>
  <cols>
    <col min="1" max="1" width="4.7109375" style="155" customWidth="1"/>
    <col min="2" max="2" width="29.7109375" style="155" customWidth="1"/>
    <col min="3" max="3" width="5.7109375" style="155" customWidth="1"/>
    <col min="4" max="4" width="6.7109375" style="155" customWidth="1"/>
    <col min="5" max="5" width="12.7109375" style="155" customWidth="1"/>
    <col min="6" max="6" width="9.85546875" style="155" customWidth="1"/>
    <col min="7" max="7" width="11" style="155" customWidth="1"/>
    <col min="8" max="8" width="14" style="155" customWidth="1"/>
    <col min="9" max="9" width="4.28515625" style="155" customWidth="1"/>
    <col min="10" max="10" width="5.7109375" style="155" customWidth="1"/>
    <col min="11" max="11" width="3.140625" style="155" customWidth="1"/>
    <col min="12" max="12" width="5.7109375" style="155" customWidth="1"/>
    <col min="13" max="13" width="2.7109375" style="155" customWidth="1"/>
    <col min="14" max="14" width="4" style="155" customWidth="1"/>
    <col min="15" max="15" width="3.7109375" style="155" customWidth="1"/>
    <col min="16" max="16384" width="9.140625" style="155"/>
  </cols>
  <sheetData>
    <row r="1" spans="1:16" ht="10.5" customHeight="1"/>
    <row r="2" spans="1:16" ht="12.75" customHeight="1">
      <c r="A2" s="154" t="s">
        <v>75</v>
      </c>
      <c r="G2" s="156" t="str">
        <f>+IF(LEFT($D$7,1)="N","Mẫu số 01 - VT","Mẫu số 02 - VT")</f>
        <v>Mẫu số 01 - VT</v>
      </c>
    </row>
    <row r="3" spans="1:16" ht="12.75" customHeight="1">
      <c r="A3" s="157" t="s">
        <v>134</v>
      </c>
      <c r="G3" s="158" t="s">
        <v>133</v>
      </c>
      <c r="N3" s="156" t="s">
        <v>212</v>
      </c>
      <c r="O3" s="159"/>
    </row>
    <row r="4" spans="1:16" ht="11.25" customHeight="1">
      <c r="G4" s="158" t="s">
        <v>141</v>
      </c>
      <c r="J4" s="184" t="s">
        <v>154</v>
      </c>
      <c r="M4" s="185"/>
      <c r="N4" s="156" t="s">
        <v>213</v>
      </c>
      <c r="O4" s="159"/>
    </row>
    <row r="5" spans="1:16" ht="18" customHeight="1">
      <c r="D5" s="485" t="str">
        <f>+IF(LEFT($L$5,1)="N","PHIẾU NHẬP KHO","PHIẾU XUẤT KHO")</f>
        <v>PHIẾU NHẬP KHO</v>
      </c>
      <c r="J5" s="188">
        <v>8</v>
      </c>
      <c r="K5" s="189"/>
      <c r="L5" s="190" t="s">
        <v>412</v>
      </c>
      <c r="M5" s="191"/>
      <c r="N5" s="192">
        <v>1</v>
      </c>
      <c r="O5" s="159"/>
      <c r="P5" s="159"/>
    </row>
    <row r="6" spans="1:16" s="160" customFormat="1" ht="12" customHeight="1">
      <c r="D6" s="161" t="str">
        <f>IF(ISNA(VLOOKUP("x",DS,4,0)),"","Ngày  " &amp;DAY(VLOOKUP("x",DS,4,0))&amp;"  tháng  " &amp; MONTH(VLOOKUP("x",DS,4,0))&amp;"  năm  "&amp;YEAR(VLOOKUP("x",DS,4,0)))</f>
        <v>Ngày  1  tháng  8  năm  2015</v>
      </c>
      <c r="E6" s="162"/>
      <c r="M6" s="163"/>
      <c r="O6" s="186"/>
    </row>
    <row r="7" spans="1:16" s="160" customFormat="1" ht="12" customHeight="1">
      <c r="C7" s="164" t="str">
        <f xml:space="preserve"> "Số:"</f>
        <v>Số:</v>
      </c>
      <c r="D7" s="165" t="str">
        <f xml:space="preserve"> LEFT($L$5,1)&amp;IF($N$5&gt;=10,$N$5,"0"&amp;$N$5)&amp;"/"&amp;RIGHT($L$5,2)</f>
        <v>N01/NL</v>
      </c>
      <c r="G7" s="160" t="str">
        <f>"Nợ:  "&amp;IF(ISNA(VLOOKUP("x",DS,7,0)),"",VLOOKUP("x",DS,7,0))</f>
        <v>Nợ:  1521</v>
      </c>
      <c r="M7" s="163"/>
      <c r="O7" s="186"/>
    </row>
    <row r="8" spans="1:16" s="160" customFormat="1" ht="12" customHeight="1">
      <c r="D8" s="158"/>
      <c r="G8" s="160" t="str">
        <f>"Có:  "&amp;IF(ISNA(VLOOKUP("x",DS,8,0)),"",VLOOKUP("x",DS,8,0))</f>
        <v>Có:  331</v>
      </c>
      <c r="M8" s="163"/>
      <c r="O8" s="187"/>
    </row>
    <row r="9" spans="1:16" s="160" customFormat="1" ht="12" customHeight="1">
      <c r="A9" s="160" t="str">
        <f>+IF(LEFT($D$7,1)="N","Họ và tên người giao :   ","Họ và tên người nhận hàng :   ")&amp;IF(ISNA(VLOOKUP("x",DS,6,0)),"",VLOOKUP("x",DS,6,0)) &amp;IF(LEFT($D$7,1)="N","","                                         Địa chỉ (bộ phận) :     Sản Xuất ")</f>
        <v>Họ và tên người giao :   Võ Thị Bảy</v>
      </c>
      <c r="M9" s="163"/>
    </row>
    <row r="10" spans="1:16" s="160" customFormat="1" ht="12" customHeight="1">
      <c r="A10" s="160" t="str">
        <f>+IF(LEFT($D$7,1)="N","Theo……………………………………....…………..số………….…………….……ngày……...tháng…......năm……....",IF(RIGHT($L$5,2)="TP","Lý do xuất :                                 Xuất bán ","Lý do xuất :                                 Xuất dùng "))</f>
        <v>Theo……………………………………....…………..số………….…………….……ngày……...tháng…......năm……....</v>
      </c>
    </row>
    <row r="11" spans="1:16" s="160" customFormat="1" ht="12" customHeight="1">
      <c r="A11" s="160" t="str">
        <f>+IF(LEFT($D$7,1)="N","của………………………………………………………………………………………………………………………………....","Xuất tại kho (ngăn lô) :            Công ty TNHH Hải Sản An Lạc                      Địa điểm :  Đức Hòa, Long An.")</f>
        <v>của………………………………………………………………………………………………………………………………....</v>
      </c>
    </row>
    <row r="12" spans="1:16" s="160" customFormat="1" ht="3.75" customHeight="1"/>
    <row r="13" spans="1:16" s="160" customFormat="1" ht="12" customHeight="1">
      <c r="A13" s="502" t="s">
        <v>30</v>
      </c>
      <c r="B13" s="502" t="s">
        <v>135</v>
      </c>
      <c r="C13" s="502" t="s">
        <v>136</v>
      </c>
      <c r="D13" s="502" t="s">
        <v>91</v>
      </c>
      <c r="E13" s="504" t="s">
        <v>11</v>
      </c>
      <c r="F13" s="504"/>
      <c r="G13" s="502" t="s">
        <v>4</v>
      </c>
      <c r="H13" s="502" t="s">
        <v>12</v>
      </c>
    </row>
    <row r="14" spans="1:16" s="160" customFormat="1" ht="12" customHeight="1">
      <c r="A14" s="503"/>
      <c r="B14" s="503"/>
      <c r="C14" s="503"/>
      <c r="D14" s="503"/>
      <c r="E14" s="480" t="s">
        <v>137</v>
      </c>
      <c r="F14" s="480" t="str">
        <f>IF(LEFT($D$7,1)="N","Thực nhập","Thực xuất")</f>
        <v>Thực nhập</v>
      </c>
      <c r="G14" s="503"/>
      <c r="H14" s="503"/>
    </row>
    <row r="15" spans="1:16" s="166" customFormat="1" ht="8.25" customHeight="1">
      <c r="A15" s="463" t="s">
        <v>13</v>
      </c>
      <c r="B15" s="463" t="s">
        <v>14</v>
      </c>
      <c r="C15" s="463" t="s">
        <v>15</v>
      </c>
      <c r="D15" s="463" t="s">
        <v>16</v>
      </c>
      <c r="E15" s="463">
        <v>1</v>
      </c>
      <c r="F15" s="463">
        <v>2</v>
      </c>
      <c r="G15" s="463">
        <v>3</v>
      </c>
      <c r="H15" s="463">
        <v>4</v>
      </c>
    </row>
    <row r="16" spans="1:16" s="160" customFormat="1" ht="12" customHeight="1">
      <c r="A16" s="464">
        <f ca="1">IF(B16="","",ROW()-15)</f>
        <v>1</v>
      </c>
      <c r="B16" s="465" t="str">
        <f ca="1">IF(ROWS($1:1)&gt;COUNT(TH),"",OFFSET(TH!F$1,SMALL(TH,ROWS($1:1)),))</f>
        <v>Cá bò NL</v>
      </c>
      <c r="C16" s="466"/>
      <c r="D16" s="467" t="str">
        <f ca="1">IF(ISNA(VLOOKUP(B16,NXT!$C$12:$D$89,2,0)),"",VLOOKUP(B16,NXT!$C$12:$D$89,2,0))</f>
        <v>kg</v>
      </c>
      <c r="E16" s="468"/>
      <c r="F16" s="469">
        <f ca="1">IF(LEFT($D$7,1)="N",IF(ROWS($1:1)&gt;COUNT(TH),"",OFFSET(TH!K$1,SMALL(TH,ROWS($1:1)),)),IF(ROWS($1:1)&gt;COUNT(TH),"",OFFSET(TH!M$1,SMALL(TH,ROWS($1:1)),)))</f>
        <v>6970</v>
      </c>
      <c r="G16" s="470">
        <f ca="1">IF(ROWS($1:1)&gt;COUNT(TH),"",OFFSET(TH!J$1,SMALL(TH,ROWS($1:1)),))</f>
        <v>11500</v>
      </c>
      <c r="H16" s="468">
        <f t="shared" ref="H16:H22" ca="1" si="0">IF(F16&lt;&gt;"",ROUND(F16*G16,0),"")</f>
        <v>80155000</v>
      </c>
    </row>
    <row r="17" spans="1:8" s="160" customFormat="1" ht="12" customHeight="1">
      <c r="A17" s="464" t="str">
        <f t="shared" ref="A17:A21" ca="1" si="1">IF(B17="","",ROW()-15)</f>
        <v/>
      </c>
      <c r="B17" s="465" t="str">
        <f ca="1">IF(ROWS($1:2)&gt;COUNT(TH),"",OFFSET(TH!F$1,SMALL(TH,ROWS($1:2)),))</f>
        <v/>
      </c>
      <c r="C17" s="466"/>
      <c r="D17" s="467" t="str">
        <f ca="1">IF(ISNA(VLOOKUP(B17,NXT!$C$12:$D$89,2,0)),"",VLOOKUP(B17,NXT!$C$12:$D$89,2,0))</f>
        <v/>
      </c>
      <c r="E17" s="468"/>
      <c r="F17" s="469" t="str">
        <f ca="1">IF(LEFT($D$7,1)="N",IF(ROWS($1:2)&gt;COUNT(TH),"",OFFSET(TH!K$1,SMALL(TH,ROWS($1:2)),)),IF(ROWS($1:2)&gt;COUNT(TH),"",OFFSET(TH!M$1,SMALL(TH,ROWS($1:2)),)))</f>
        <v/>
      </c>
      <c r="G17" s="470" t="str">
        <f ca="1">IF(ROWS($1:2)&gt;COUNT(TH),"",OFFSET(TH!J$1,SMALL(TH,ROWS($1:2)),))</f>
        <v/>
      </c>
      <c r="H17" s="468" t="str">
        <f t="shared" ca="1" si="0"/>
        <v/>
      </c>
    </row>
    <row r="18" spans="1:8" s="160" customFormat="1" ht="12" customHeight="1">
      <c r="A18" s="464" t="str">
        <f t="shared" ca="1" si="1"/>
        <v/>
      </c>
      <c r="B18" s="465" t="str">
        <f ca="1">IF(ROWS($1:3)&gt;COUNT(TH),"",OFFSET(TH!F$1,SMALL(TH,ROWS($1:3)),))</f>
        <v/>
      </c>
      <c r="C18" s="466"/>
      <c r="D18" s="467" t="str">
        <f ca="1">IF(ISNA(VLOOKUP(B18,NXT!$C$12:$D$89,2,0)),"",VLOOKUP(B18,NXT!$C$12:$D$89,2,0))</f>
        <v/>
      </c>
      <c r="E18" s="468"/>
      <c r="F18" s="469" t="str">
        <f ca="1">IF(LEFT($D$7,1)="N",IF(ROWS($1:3)&gt;COUNT(TH),"",OFFSET(TH!K$1,SMALL(TH,ROWS($1:3)),)),IF(ROWS($1:3)&gt;COUNT(TH),"",OFFSET(TH!M$1,SMALL(TH,ROWS($1:3)),)))</f>
        <v/>
      </c>
      <c r="G18" s="470" t="str">
        <f ca="1">IF(ROWS($1:3)&gt;COUNT(TH),"",OFFSET(TH!J$1,SMALL(TH,ROWS($1:3)),))</f>
        <v/>
      </c>
      <c r="H18" s="468" t="str">
        <f t="shared" ca="1" si="0"/>
        <v/>
      </c>
    </row>
    <row r="19" spans="1:8" s="160" customFormat="1" ht="12" customHeight="1">
      <c r="A19" s="464" t="str">
        <f t="shared" ca="1" si="1"/>
        <v/>
      </c>
      <c r="B19" s="465" t="str">
        <f ca="1">IF(ROWS($1:4)&gt;COUNT(TH),"",OFFSET(TH!F$1,SMALL(TH,ROWS($1:4)),))</f>
        <v/>
      </c>
      <c r="C19" s="466"/>
      <c r="D19" s="467" t="str">
        <f ca="1">IF(ISNA(VLOOKUP(B19,NXT!$C$12:$D$89,2,0)),"",VLOOKUP(B19,NXT!$C$12:$D$89,2,0))</f>
        <v/>
      </c>
      <c r="E19" s="468"/>
      <c r="F19" s="469" t="str">
        <f ca="1">IF(LEFT($D$7,1)="N",IF(ROWS($1:4)&gt;COUNT(TH),"",OFFSET(TH!K$1,SMALL(TH,ROWS($1:4)),)),IF(ROWS($1:4)&gt;COUNT(TH),"",OFFSET(TH!M$1,SMALL(TH,ROWS($1:4)),)))</f>
        <v/>
      </c>
      <c r="G19" s="470" t="str">
        <f ca="1">IF(ROWS($1:4)&gt;COUNT(TH),"",OFFSET(TH!J$1,SMALL(TH,ROWS($1:4)),))</f>
        <v/>
      </c>
      <c r="H19" s="468" t="str">
        <f t="shared" ca="1" si="0"/>
        <v/>
      </c>
    </row>
    <row r="20" spans="1:8" s="160" customFormat="1" ht="12" customHeight="1">
      <c r="A20" s="464" t="str">
        <f t="shared" ca="1" si="1"/>
        <v/>
      </c>
      <c r="B20" s="465" t="str">
        <f ca="1">IF(ROWS($1:5)&gt;COUNT(TH),"",OFFSET(TH!F$1,SMALL(TH,ROWS($1:5)),))</f>
        <v/>
      </c>
      <c r="C20" s="466"/>
      <c r="D20" s="467" t="str">
        <f ca="1">IF(ISNA(VLOOKUP(B20,NXT!$C$12:$D$89,2,0)),"",VLOOKUP(B20,NXT!$C$12:$D$89,2,0))</f>
        <v/>
      </c>
      <c r="E20" s="468"/>
      <c r="F20" s="469" t="str">
        <f ca="1">IF(LEFT($D$7,1)="N",IF(ROWS($1:5)&gt;COUNT(TH),"",OFFSET(TH!K$1,SMALL(TH,ROWS($1:5)),)),IF(ROWS($1:5)&gt;COUNT(TH),"",OFFSET(TH!M$1,SMALL(TH,ROWS($1:5)),)))</f>
        <v/>
      </c>
      <c r="G20" s="470" t="str">
        <f ca="1">IF(ROWS($1:5)&gt;COUNT(TH),"",OFFSET(TH!J$1,SMALL(TH,ROWS($1:5)),))</f>
        <v/>
      </c>
      <c r="H20" s="468" t="str">
        <f t="shared" ca="1" si="0"/>
        <v/>
      </c>
    </row>
    <row r="21" spans="1:8" s="160" customFormat="1" ht="12" customHeight="1">
      <c r="A21" s="464" t="str">
        <f t="shared" ca="1" si="1"/>
        <v/>
      </c>
      <c r="B21" s="465" t="str">
        <f ca="1">IF(ROWS($1:6)&gt;COUNT(TH),"",OFFSET(TH!F$1,SMALL(TH,ROWS($1:6)),))</f>
        <v/>
      </c>
      <c r="C21" s="466"/>
      <c r="D21" s="467" t="str">
        <f ca="1">IF(ISNA(VLOOKUP(B21,NXT!$C$12:$D$89,2,0)),"",VLOOKUP(B21,NXT!$C$12:$D$89,2,0))</f>
        <v/>
      </c>
      <c r="E21" s="468"/>
      <c r="F21" s="469" t="str">
        <f ca="1">IF(LEFT($D$7,1)="N",IF(ROWS($1:6)&gt;COUNT(TH),"",OFFSET(TH!K$1,SMALL(TH,ROWS($1:6)),)),IF(ROWS($1:6)&gt;COUNT(TH),"",OFFSET(TH!M$1,SMALL(TH,ROWS($1:6)),)))</f>
        <v/>
      </c>
      <c r="G21" s="470" t="str">
        <f ca="1">IF(ROWS($1:6)&gt;COUNT(TH),"",OFFSET(TH!J$1,SMALL(TH,ROWS($1:6)),))</f>
        <v/>
      </c>
      <c r="H21" s="468" t="str">
        <f t="shared" ca="1" si="0"/>
        <v/>
      </c>
    </row>
    <row r="22" spans="1:8" s="160" customFormat="1" ht="12" customHeight="1">
      <c r="A22" s="471" t="str">
        <f t="shared" ref="A22" ca="1" si="2">IF(B22="","",A21+1)</f>
        <v/>
      </c>
      <c r="B22" s="472" t="str">
        <f ca="1">IF(ROWS($1:7)&gt;COUNT(TH),"",OFFSET(TH!F$1,SMALL(TH,ROWS($1:7)),))</f>
        <v/>
      </c>
      <c r="C22" s="473"/>
      <c r="D22" s="474" t="str">
        <f ca="1">IF(ISNA(VLOOKUP(B22,NXT!$C$12:$D$89,2,0)),"",VLOOKUP(B22,NXT!$C$12:$D$89,2,0))</f>
        <v/>
      </c>
      <c r="E22" s="475"/>
      <c r="F22" s="476" t="str">
        <f ca="1">IF(LEFT($D$7,1)="N",IF(ROWS($1:7)&gt;COUNT(TH),"",OFFSET(TH!K$1,SMALL(TH,ROWS($1:7)),)),IF(ROWS($1:7)&gt;COUNT(TH),"",OFFSET(TH!M$1,SMALL(TH,ROWS($1:7)),)))</f>
        <v/>
      </c>
      <c r="G22" s="477" t="str">
        <f ca="1">IF(ROWS($1:7)&gt;COUNT(TH),"",OFFSET(TH!J$1,SMALL(TH,ROWS($1:7)),))</f>
        <v/>
      </c>
      <c r="H22" s="475" t="str">
        <f t="shared" ca="1" si="0"/>
        <v/>
      </c>
    </row>
    <row r="23" spans="1:8" s="160" customFormat="1" ht="12" customHeight="1">
      <c r="A23" s="504" t="s">
        <v>138</v>
      </c>
      <c r="B23" s="504"/>
      <c r="C23" s="478"/>
      <c r="D23" s="478"/>
      <c r="E23" s="479"/>
      <c r="F23" s="479"/>
      <c r="G23" s="479"/>
      <c r="H23" s="479">
        <f ca="1">SUM(H16:H22)</f>
        <v>80155000</v>
      </c>
    </row>
    <row r="24" spans="1:8" s="160" customFormat="1" ht="3" customHeight="1">
      <c r="A24" s="167"/>
      <c r="B24" s="167"/>
      <c r="C24" s="163"/>
      <c r="D24" s="163"/>
      <c r="E24" s="168"/>
      <c r="F24" s="168"/>
      <c r="G24" s="168"/>
      <c r="H24" s="168"/>
    </row>
    <row r="25" spans="1:8" s="160" customFormat="1" ht="14.25" customHeight="1">
      <c r="A25" s="160" t="str">
        <f ca="1">"Tổng số tiền (viết bằng chữ):  "&amp; [4]!VND(H23, TRUE)</f>
        <v>Tổng số tiền (viết bằng chữ):  Tám mươi triệu, một trăm năm mươi lăm ngàn đồng</v>
      </c>
    </row>
    <row r="26" spans="1:8" s="160" customFormat="1" ht="14.25" customHeight="1">
      <c r="A26" s="160" t="str">
        <f>"Số chứng từ gốc kèm theo :  "</f>
        <v xml:space="preserve">Số chứng từ gốc kèm theo :  </v>
      </c>
    </row>
    <row r="27" spans="1:8" s="160" customFormat="1" ht="14.25" customHeight="1">
      <c r="F27" s="169" t="str">
        <f>+IF(LEFT($D$7,1)="N","                                                          "&amp;D6,"                                                                                           "&amp;D6)</f>
        <v xml:space="preserve">                                                          Ngày  1  tháng  8  năm  2015</v>
      </c>
    </row>
    <row r="28" spans="1:8" s="171" customFormat="1" ht="14.25" customHeight="1">
      <c r="A28" s="170" t="s">
        <v>139</v>
      </c>
      <c r="C28" s="172"/>
      <c r="E28" s="172"/>
      <c r="F28" s="172" t="str">
        <f>+IF(LEFT($D$7,1)="N","                                                       Kế toán trưởng","                                          Kế toán trưởng                           Giám đốc")</f>
        <v xml:space="preserve">                                                       Kế toán trưởng</v>
      </c>
    </row>
    <row r="29" spans="1:8" s="160" customFormat="1" ht="12.75" customHeight="1">
      <c r="A29" s="165" t="s">
        <v>140</v>
      </c>
      <c r="C29" s="169"/>
      <c r="E29" s="169"/>
      <c r="F29" s="169" t="str">
        <f>+IF(LEFT($D$7,1)="N","                                                     (Ký, họ tên)","                (Ký, họ tên)                ")</f>
        <v xml:space="preserve">                                                     (Ký, họ tên)</v>
      </c>
      <c r="H29" s="165" t="str">
        <f>+IF(LEFT($D$7,1)="N","","  (Ký, họ tên)")</f>
        <v/>
      </c>
    </row>
    <row r="30" spans="1:8" s="160" customFormat="1" ht="12.75" customHeight="1">
      <c r="G30" s="169"/>
    </row>
    <row r="31" spans="1:8" s="160" customFormat="1" ht="11.25" customHeight="1"/>
    <row r="32" spans="1:8" s="160" customFormat="1" ht="11.25" customHeight="1"/>
    <row r="33" spans="1:6" s="160" customFormat="1" ht="11.25" customHeight="1"/>
    <row r="34" spans="1:6" s="160" customFormat="1" ht="11.25" customHeight="1"/>
    <row r="35" spans="1:6" s="482" customFormat="1" ht="13.5" customHeight="1">
      <c r="A35" s="481" t="s">
        <v>400</v>
      </c>
      <c r="F35" s="483" t="str">
        <f>+IF(LEFT($D$7,1)="N","","                                                                                                    Nguyễn Thiện Duy")</f>
        <v/>
      </c>
    </row>
  </sheetData>
  <mergeCells count="8">
    <mergeCell ref="C13:C14"/>
    <mergeCell ref="B13:B14"/>
    <mergeCell ref="A13:A14"/>
    <mergeCell ref="A23:B23"/>
    <mergeCell ref="H13:H14"/>
    <mergeCell ref="G13:G14"/>
    <mergeCell ref="E13:F13"/>
    <mergeCell ref="D13:D14"/>
  </mergeCells>
  <phoneticPr fontId="30" type="noConversion"/>
  <conditionalFormatting sqref="B16:B22 F16:G22">
    <cfRule type="expression" dxfId="2" priority="1" stopIfTrue="1">
      <formula>$B16&lt;&gt;""</formula>
    </cfRule>
  </conditionalFormatting>
  <dataValidations count="2">
    <dataValidation type="list" allowBlank="1" showInputMessage="1" showErrorMessage="1" sqref="L5">
      <formula1>"NVL,NNL,NTP,XVL,XNL,XTP"</formula1>
    </dataValidation>
    <dataValidation type="list" allowBlank="1" showInputMessage="1" showErrorMessage="1" sqref="J5">
      <formula1>"1,2,3,4,5,6,7,8,9,10,11,12"</formula1>
    </dataValidation>
  </dataValidations>
  <pageMargins left="0.73" right="0.15" top="0.19" bottom="0.15" header="0.16" footer="0.1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enableFormatConditionsCalculation="0">
    <tabColor indexed="58"/>
  </sheetPr>
  <dimension ref="A1:P1458"/>
  <sheetViews>
    <sheetView topLeftCell="A2" zoomScale="90" workbookViewId="0">
      <pane ySplit="3" topLeftCell="A5" activePane="bottomLeft" state="frozen"/>
      <selection activeCell="C2" sqref="C2"/>
      <selection pane="bottomLeft" activeCell="N1452" sqref="N1452"/>
    </sheetView>
  </sheetViews>
  <sheetFormatPr defaultColWidth="23.85546875" defaultRowHeight="15"/>
  <cols>
    <col min="1" max="1" width="5.28515625" style="10" customWidth="1"/>
    <col min="2" max="2" width="4.5703125" style="174" customWidth="1"/>
    <col min="3" max="4" width="5.7109375" style="9" customWidth="1"/>
    <col min="5" max="5" width="9.7109375" style="9" customWidth="1"/>
    <col min="6" max="6" width="26.5703125" style="9" customWidth="1"/>
    <col min="7" max="7" width="28.140625" style="9" customWidth="1"/>
    <col min="8" max="9" width="6.28515625" style="10" customWidth="1"/>
    <col min="10" max="10" width="10.28515625" style="9" customWidth="1"/>
    <col min="11" max="11" width="9.85546875" style="9" customWidth="1"/>
    <col min="12" max="12" width="15" style="9" customWidth="1"/>
    <col min="13" max="13" width="9" style="9" customWidth="1"/>
    <col min="14" max="14" width="14" style="9" customWidth="1"/>
    <col min="15" max="15" width="8" style="9" customWidth="1"/>
    <col min="16" max="16384" width="23.85546875" style="9"/>
  </cols>
  <sheetData>
    <row r="1" spans="1:15">
      <c r="A1" s="10">
        <v>1</v>
      </c>
      <c r="B1" s="174">
        <v>2</v>
      </c>
      <c r="C1" s="10">
        <v>3</v>
      </c>
      <c r="D1" s="174">
        <v>4</v>
      </c>
      <c r="E1" s="10">
        <v>5</v>
      </c>
      <c r="F1" s="174">
        <v>6</v>
      </c>
      <c r="G1" s="10">
        <v>7</v>
      </c>
      <c r="H1" s="174">
        <v>8</v>
      </c>
      <c r="I1" s="10">
        <v>9</v>
      </c>
      <c r="J1" s="174">
        <v>10</v>
      </c>
      <c r="K1" s="10">
        <v>11</v>
      </c>
      <c r="L1" s="10"/>
      <c r="M1" s="174">
        <v>12</v>
      </c>
      <c r="N1" s="10">
        <v>13</v>
      </c>
      <c r="O1" s="174">
        <v>14</v>
      </c>
    </row>
    <row r="2" spans="1:15" ht="21" customHeight="1">
      <c r="A2" s="506" t="s">
        <v>154</v>
      </c>
      <c r="B2" s="509" t="s">
        <v>1</v>
      </c>
      <c r="C2" s="510"/>
      <c r="D2" s="510"/>
      <c r="E2" s="511"/>
      <c r="F2" s="507" t="s">
        <v>2</v>
      </c>
      <c r="G2" s="507" t="s">
        <v>142</v>
      </c>
      <c r="H2" s="505" t="s">
        <v>143</v>
      </c>
      <c r="I2" s="505" t="s">
        <v>144</v>
      </c>
      <c r="J2" s="505" t="s">
        <v>4</v>
      </c>
      <c r="K2" s="506" t="s">
        <v>5</v>
      </c>
      <c r="L2" s="506"/>
      <c r="M2" s="506" t="s">
        <v>6</v>
      </c>
      <c r="N2" s="506"/>
      <c r="O2" s="505" t="s">
        <v>8</v>
      </c>
    </row>
    <row r="3" spans="1:15" ht="21" customHeight="1">
      <c r="A3" s="506"/>
      <c r="B3" s="512" t="s">
        <v>9</v>
      </c>
      <c r="C3" s="513"/>
      <c r="D3" s="514"/>
      <c r="E3" s="181" t="s">
        <v>10</v>
      </c>
      <c r="F3" s="508"/>
      <c r="G3" s="508"/>
      <c r="H3" s="505"/>
      <c r="I3" s="505"/>
      <c r="J3" s="505"/>
      <c r="K3" s="179" t="s">
        <v>64</v>
      </c>
      <c r="L3" s="179" t="s">
        <v>111</v>
      </c>
      <c r="M3" s="179" t="s">
        <v>64</v>
      </c>
      <c r="N3" s="179" t="s">
        <v>111</v>
      </c>
      <c r="O3" s="505"/>
    </row>
    <row r="4" spans="1:15" s="10" customFormat="1">
      <c r="A4" s="12"/>
      <c r="B4" s="175"/>
      <c r="C4" s="12" t="s">
        <v>13</v>
      </c>
      <c r="D4" s="13"/>
      <c r="E4" s="13" t="s">
        <v>14</v>
      </c>
      <c r="F4" s="13"/>
      <c r="G4" s="13"/>
      <c r="H4" s="13"/>
      <c r="I4" s="12" t="s">
        <v>16</v>
      </c>
      <c r="J4" s="12">
        <v>1</v>
      </c>
      <c r="K4" s="12">
        <v>2</v>
      </c>
      <c r="L4" s="12"/>
      <c r="M4" s="12">
        <v>4</v>
      </c>
      <c r="N4" s="12"/>
      <c r="O4" s="12"/>
    </row>
    <row r="5" spans="1:15" hidden="1">
      <c r="A5" s="24">
        <f t="shared" ref="A5" si="0">IF(E5&lt;&gt;"",MONTH(E5),"")</f>
        <v>1</v>
      </c>
      <c r="B5" s="176" t="str">
        <f>IF(AND(MONTH(E5)='IN-NX'!$J$5,'IN-NX'!$D$7=(D5&amp;"/"&amp;C5)),"x","")</f>
        <v/>
      </c>
      <c r="C5" s="173" t="s">
        <v>226</v>
      </c>
      <c r="D5" s="173" t="s">
        <v>234</v>
      </c>
      <c r="E5" s="70">
        <v>42012</v>
      </c>
      <c r="F5" s="62" t="s">
        <v>68</v>
      </c>
      <c r="G5" s="62" t="s">
        <v>174</v>
      </c>
      <c r="H5" s="177" t="s">
        <v>231</v>
      </c>
      <c r="I5" s="57" t="s">
        <v>124</v>
      </c>
      <c r="J5" s="15">
        <v>18000</v>
      </c>
      <c r="K5" s="15">
        <v>5980</v>
      </c>
      <c r="L5" s="15">
        <f t="shared" ref="L5:L68" si="1">ROUND(J5*K5,0)</f>
        <v>107640000</v>
      </c>
      <c r="M5" s="15"/>
      <c r="N5" s="15">
        <f t="shared" ref="N5:N68" si="2">ROUND(J5*M5,0)</f>
        <v>0</v>
      </c>
      <c r="O5" s="15" t="str">
        <f>IF(AND(A5='BANG KE NL'!$M$11,TH!C5="NL",LEFT(D5,1)="N"),"x","")</f>
        <v/>
      </c>
    </row>
    <row r="6" spans="1:15" hidden="1">
      <c r="A6" s="24">
        <f t="shared" ref="A6:A69" si="3">IF(E6&lt;&gt;"",MONTH(E6),"")</f>
        <v>1</v>
      </c>
      <c r="B6" s="176" t="str">
        <f>IF(AND(MONTH(E6)='IN-NX'!$J$5,'IN-NX'!$D$7=(D6&amp;"/"&amp;C6)),"x","")</f>
        <v/>
      </c>
      <c r="C6" s="173" t="s">
        <v>226</v>
      </c>
      <c r="D6" s="173" t="s">
        <v>235</v>
      </c>
      <c r="E6" s="70">
        <v>42012</v>
      </c>
      <c r="F6" s="62" t="s">
        <v>68</v>
      </c>
      <c r="G6" s="62" t="s">
        <v>175</v>
      </c>
      <c r="H6" s="177" t="s">
        <v>231</v>
      </c>
      <c r="I6" s="57" t="s">
        <v>124</v>
      </c>
      <c r="J6" s="15">
        <v>18000</v>
      </c>
      <c r="K6" s="15">
        <v>5630</v>
      </c>
      <c r="L6" s="15">
        <f t="shared" si="1"/>
        <v>101340000</v>
      </c>
      <c r="M6" s="15"/>
      <c r="N6" s="15">
        <f t="shared" si="2"/>
        <v>0</v>
      </c>
      <c r="O6" s="15" t="str">
        <f>IF(AND(A6='BANG KE NL'!$M$11,TH!C6="NL",LEFT(D6,1)="N"),"x","")</f>
        <v/>
      </c>
    </row>
    <row r="7" spans="1:15" hidden="1">
      <c r="A7" s="24">
        <f t="shared" si="3"/>
        <v>1</v>
      </c>
      <c r="B7" s="176" t="str">
        <f>IF(AND(MONTH(E7)='IN-NX'!$J$5,'IN-NX'!$D$7=(D7&amp;"/"&amp;C7)),"x","")</f>
        <v/>
      </c>
      <c r="C7" s="173" t="s">
        <v>226</v>
      </c>
      <c r="D7" s="173" t="s">
        <v>236</v>
      </c>
      <c r="E7" s="70">
        <v>42012</v>
      </c>
      <c r="F7" s="62" t="s">
        <v>68</v>
      </c>
      <c r="G7" s="62" t="s">
        <v>176</v>
      </c>
      <c r="H7" s="177" t="s">
        <v>231</v>
      </c>
      <c r="I7" s="57" t="s">
        <v>124</v>
      </c>
      <c r="J7" s="15">
        <v>18000</v>
      </c>
      <c r="K7" s="15">
        <v>5780</v>
      </c>
      <c r="L7" s="15">
        <f t="shared" si="1"/>
        <v>104040000</v>
      </c>
      <c r="M7" s="15"/>
      <c r="N7" s="15">
        <f t="shared" si="2"/>
        <v>0</v>
      </c>
      <c r="O7" s="15" t="str">
        <f>IF(AND(A7='BANG KE NL'!$M$11,TH!C7="NL",LEFT(D7,1)="N"),"x","")</f>
        <v/>
      </c>
    </row>
    <row r="8" spans="1:15" hidden="1">
      <c r="A8" s="24">
        <f t="shared" si="3"/>
        <v>1</v>
      </c>
      <c r="B8" s="176" t="str">
        <f>IF(AND(MONTH(E8)='IN-NX'!$J$5,'IN-NX'!$D$7=(D8&amp;"/"&amp;C8)),"x","")</f>
        <v/>
      </c>
      <c r="C8" s="173" t="s">
        <v>226</v>
      </c>
      <c r="D8" s="173" t="s">
        <v>237</v>
      </c>
      <c r="E8" s="70">
        <v>42012</v>
      </c>
      <c r="F8" s="62" t="s">
        <v>68</v>
      </c>
      <c r="G8" s="62" t="s">
        <v>178</v>
      </c>
      <c r="H8" s="177" t="s">
        <v>231</v>
      </c>
      <c r="I8" s="57" t="s">
        <v>124</v>
      </c>
      <c r="J8" s="15">
        <v>18000</v>
      </c>
      <c r="K8" s="15">
        <v>5931</v>
      </c>
      <c r="L8" s="15">
        <f t="shared" si="1"/>
        <v>106758000</v>
      </c>
      <c r="M8" s="15"/>
      <c r="N8" s="15">
        <f t="shared" si="2"/>
        <v>0</v>
      </c>
      <c r="O8" s="15" t="str">
        <f>IF(AND(A8='BANG KE NL'!$M$11,TH!C8="NL",LEFT(D8,1)="N"),"x","")</f>
        <v/>
      </c>
    </row>
    <row r="9" spans="1:15" hidden="1">
      <c r="A9" s="24">
        <f t="shared" si="3"/>
        <v>1</v>
      </c>
      <c r="B9" s="176" t="str">
        <f>IF(AND(MONTH(E9)='IN-NX'!$J$5,'IN-NX'!$D$7=(D9&amp;"/"&amp;C9)),"x","")</f>
        <v/>
      </c>
      <c r="C9" s="173" t="s">
        <v>226</v>
      </c>
      <c r="D9" s="173" t="s">
        <v>242</v>
      </c>
      <c r="E9" s="70">
        <v>42019</v>
      </c>
      <c r="F9" s="62" t="s">
        <v>68</v>
      </c>
      <c r="G9" s="62" t="s">
        <v>177</v>
      </c>
      <c r="H9" s="177" t="s">
        <v>231</v>
      </c>
      <c r="I9" s="57" t="s">
        <v>124</v>
      </c>
      <c r="J9" s="15">
        <v>18000</v>
      </c>
      <c r="K9" s="15">
        <v>5743</v>
      </c>
      <c r="L9" s="15">
        <f t="shared" si="1"/>
        <v>103374000</v>
      </c>
      <c r="M9" s="15"/>
      <c r="N9" s="15">
        <f t="shared" si="2"/>
        <v>0</v>
      </c>
      <c r="O9" s="15" t="str">
        <f>IF(AND(A9='BANG KE NL'!$M$11,TH!C9="NL",LEFT(D9,1)="N"),"x","")</f>
        <v/>
      </c>
    </row>
    <row r="10" spans="1:15" hidden="1">
      <c r="A10" s="24">
        <f t="shared" si="3"/>
        <v>1</v>
      </c>
      <c r="B10" s="176" t="str">
        <f>IF(AND(MONTH(E10)='IN-NX'!$J$5,'IN-NX'!$D$7=(D10&amp;"/"&amp;C10)),"x","")</f>
        <v/>
      </c>
      <c r="C10" s="173" t="s">
        <v>226</v>
      </c>
      <c r="D10" s="173" t="s">
        <v>243</v>
      </c>
      <c r="E10" s="70">
        <v>42019</v>
      </c>
      <c r="F10" s="62" t="s">
        <v>68</v>
      </c>
      <c r="G10" s="62" t="s">
        <v>179</v>
      </c>
      <c r="H10" s="177" t="s">
        <v>231</v>
      </c>
      <c r="I10" s="57" t="s">
        <v>124</v>
      </c>
      <c r="J10" s="15">
        <v>18000</v>
      </c>
      <c r="K10" s="15">
        <v>5830</v>
      </c>
      <c r="L10" s="15">
        <f t="shared" si="1"/>
        <v>104940000</v>
      </c>
      <c r="M10" s="15"/>
      <c r="N10" s="15">
        <f t="shared" si="2"/>
        <v>0</v>
      </c>
      <c r="O10" s="15" t="str">
        <f>IF(AND(A10='BANG KE NL'!$M$11,TH!C10="NL",LEFT(D10,1)="N"),"x","")</f>
        <v/>
      </c>
    </row>
    <row r="11" spans="1:15" hidden="1">
      <c r="A11" s="24">
        <f t="shared" si="3"/>
        <v>1</v>
      </c>
      <c r="B11" s="176" t="str">
        <f>IF(AND(MONTH(E11)='IN-NX'!$J$5,'IN-NX'!$D$7=(D11&amp;"/"&amp;C11)),"x","")</f>
        <v/>
      </c>
      <c r="C11" s="173" t="s">
        <v>226</v>
      </c>
      <c r="D11" s="173" t="s">
        <v>244</v>
      </c>
      <c r="E11" s="70">
        <v>42019</v>
      </c>
      <c r="F11" s="62" t="s">
        <v>68</v>
      </c>
      <c r="G11" s="62" t="s">
        <v>180</v>
      </c>
      <c r="H11" s="177" t="s">
        <v>231</v>
      </c>
      <c r="I11" s="57" t="s">
        <v>124</v>
      </c>
      <c r="J11" s="15">
        <v>18000</v>
      </c>
      <c r="K11" s="15">
        <v>5970</v>
      </c>
      <c r="L11" s="15">
        <f t="shared" si="1"/>
        <v>107460000</v>
      </c>
      <c r="M11" s="15"/>
      <c r="N11" s="15">
        <f t="shared" si="2"/>
        <v>0</v>
      </c>
      <c r="O11" s="15" t="str">
        <f>IF(AND(A11='BANG KE NL'!$M$11,TH!C11="NL",LEFT(D11,1)="N"),"x","")</f>
        <v/>
      </c>
    </row>
    <row r="12" spans="1:15" hidden="1">
      <c r="A12" s="24">
        <f t="shared" si="3"/>
        <v>1</v>
      </c>
      <c r="B12" s="176" t="str">
        <f>IF(AND(MONTH(E12)='IN-NX'!$J$5,'IN-NX'!$D$7=(D12&amp;"/"&amp;C12)),"x","")</f>
        <v/>
      </c>
      <c r="C12" s="173" t="s">
        <v>226</v>
      </c>
      <c r="D12" s="173" t="s">
        <v>245</v>
      </c>
      <c r="E12" s="70">
        <v>42019</v>
      </c>
      <c r="F12" s="62" t="s">
        <v>68</v>
      </c>
      <c r="G12" s="62" t="s">
        <v>181</v>
      </c>
      <c r="H12" s="177" t="s">
        <v>231</v>
      </c>
      <c r="I12" s="57" t="s">
        <v>124</v>
      </c>
      <c r="J12" s="15">
        <v>18000</v>
      </c>
      <c r="K12" s="15">
        <v>5960</v>
      </c>
      <c r="L12" s="15">
        <f t="shared" si="1"/>
        <v>107280000</v>
      </c>
      <c r="M12" s="15"/>
      <c r="N12" s="15">
        <f t="shared" si="2"/>
        <v>0</v>
      </c>
      <c r="O12" s="15" t="str">
        <f>IF(AND(A12='BANG KE NL'!$M$11,TH!C12="NL",LEFT(D12,1)="N"),"x","")</f>
        <v/>
      </c>
    </row>
    <row r="13" spans="1:15" hidden="1">
      <c r="A13" s="24">
        <f t="shared" si="3"/>
        <v>1</v>
      </c>
      <c r="B13" s="176" t="str">
        <f>IF(AND(MONTH(E13)='IN-NX'!$J$5,'IN-NX'!$D$7=(D13&amp;"/"&amp;C13)),"x","")</f>
        <v/>
      </c>
      <c r="C13" s="173" t="s">
        <v>226</v>
      </c>
      <c r="D13" s="173" t="s">
        <v>254</v>
      </c>
      <c r="E13" s="70">
        <v>42025</v>
      </c>
      <c r="F13" s="62" t="s">
        <v>68</v>
      </c>
      <c r="G13" s="62" t="s">
        <v>178</v>
      </c>
      <c r="H13" s="177" t="s">
        <v>231</v>
      </c>
      <c r="I13" s="57" t="s">
        <v>124</v>
      </c>
      <c r="J13" s="15">
        <v>18000</v>
      </c>
      <c r="K13" s="15">
        <v>5710</v>
      </c>
      <c r="L13" s="15">
        <f t="shared" si="1"/>
        <v>102780000</v>
      </c>
      <c r="M13" s="15"/>
      <c r="N13" s="15">
        <f t="shared" si="2"/>
        <v>0</v>
      </c>
      <c r="O13" s="15" t="str">
        <f>IF(AND(A13='BANG KE NL'!$M$11,TH!C13="NL",LEFT(D13,1)="N"),"x","")</f>
        <v/>
      </c>
    </row>
    <row r="14" spans="1:15" hidden="1">
      <c r="A14" s="24">
        <f t="shared" si="3"/>
        <v>1</v>
      </c>
      <c r="B14" s="176" t="str">
        <f>IF(AND(MONTH(E14)='IN-NX'!$J$5,'IN-NX'!$D$7=(D14&amp;"/"&amp;C14)),"x","")</f>
        <v/>
      </c>
      <c r="C14" s="173" t="s">
        <v>226</v>
      </c>
      <c r="D14" s="173" t="s">
        <v>255</v>
      </c>
      <c r="E14" s="70">
        <v>42025</v>
      </c>
      <c r="F14" s="62" t="s">
        <v>68</v>
      </c>
      <c r="G14" s="62" t="s">
        <v>177</v>
      </c>
      <c r="H14" s="177" t="s">
        <v>231</v>
      </c>
      <c r="I14" s="57" t="s">
        <v>124</v>
      </c>
      <c r="J14" s="15">
        <v>18000</v>
      </c>
      <c r="K14" s="15">
        <v>5890</v>
      </c>
      <c r="L14" s="15">
        <f t="shared" si="1"/>
        <v>106020000</v>
      </c>
      <c r="M14" s="15"/>
      <c r="N14" s="15">
        <f t="shared" si="2"/>
        <v>0</v>
      </c>
      <c r="O14" s="15" t="str">
        <f>IF(AND(A14='BANG KE NL'!$M$11,TH!C14="NL",LEFT(D14,1)="N"),"x","")</f>
        <v/>
      </c>
    </row>
    <row r="15" spans="1:15" hidden="1">
      <c r="A15" s="24">
        <f t="shared" si="3"/>
        <v>1</v>
      </c>
      <c r="B15" s="176" t="str">
        <f>IF(AND(MONTH(E15)='IN-NX'!$J$5,'IN-NX'!$D$7=(D15&amp;"/"&amp;C15)),"x","")</f>
        <v/>
      </c>
      <c r="C15" s="173" t="s">
        <v>226</v>
      </c>
      <c r="D15" s="173" t="s">
        <v>256</v>
      </c>
      <c r="E15" s="70">
        <v>42025</v>
      </c>
      <c r="F15" s="62" t="s">
        <v>68</v>
      </c>
      <c r="G15" s="62" t="s">
        <v>179</v>
      </c>
      <c r="H15" s="177" t="s">
        <v>231</v>
      </c>
      <c r="I15" s="57" t="s">
        <v>124</v>
      </c>
      <c r="J15" s="15">
        <v>18000</v>
      </c>
      <c r="K15" s="15">
        <v>5983</v>
      </c>
      <c r="L15" s="15">
        <f t="shared" si="1"/>
        <v>107694000</v>
      </c>
      <c r="M15" s="15"/>
      <c r="N15" s="15">
        <f t="shared" si="2"/>
        <v>0</v>
      </c>
      <c r="O15" s="15" t="str">
        <f>IF(AND(A15='BANG KE NL'!$M$11,TH!C15="NL",LEFT(D15,1)="N"),"x","")</f>
        <v/>
      </c>
    </row>
    <row r="16" spans="1:15" hidden="1">
      <c r="A16" s="24">
        <f t="shared" si="3"/>
        <v>1</v>
      </c>
      <c r="B16" s="176" t="str">
        <f>IF(AND(MONTH(E16)='IN-NX'!$J$5,'IN-NX'!$D$7=(D16&amp;"/"&amp;C16)),"x","")</f>
        <v/>
      </c>
      <c r="C16" s="173" t="s">
        <v>226</v>
      </c>
      <c r="D16" s="173" t="s">
        <v>265</v>
      </c>
      <c r="E16" s="70">
        <v>42029</v>
      </c>
      <c r="F16" s="62" t="s">
        <v>68</v>
      </c>
      <c r="G16" s="62" t="s">
        <v>175</v>
      </c>
      <c r="H16" s="177" t="s">
        <v>231</v>
      </c>
      <c r="I16" s="57" t="s">
        <v>124</v>
      </c>
      <c r="J16" s="15">
        <v>18000</v>
      </c>
      <c r="K16" s="15">
        <v>5940</v>
      </c>
      <c r="L16" s="15">
        <f t="shared" si="1"/>
        <v>106920000</v>
      </c>
      <c r="M16" s="15"/>
      <c r="N16" s="15">
        <f t="shared" si="2"/>
        <v>0</v>
      </c>
      <c r="O16" s="15" t="str">
        <f>IF(AND(A16='BANG KE NL'!$M$11,TH!C16="NL",LEFT(D16,1)="N"),"x","")</f>
        <v/>
      </c>
    </row>
    <row r="17" spans="1:15" hidden="1">
      <c r="A17" s="24">
        <f t="shared" si="3"/>
        <v>1</v>
      </c>
      <c r="B17" s="176" t="str">
        <f>IF(AND(MONTH(E17)='IN-NX'!$J$5,'IN-NX'!$D$7=(D17&amp;"/"&amp;C17)),"x","")</f>
        <v/>
      </c>
      <c r="C17" s="173" t="s">
        <v>226</v>
      </c>
      <c r="D17" s="173" t="s">
        <v>266</v>
      </c>
      <c r="E17" s="70">
        <v>42029</v>
      </c>
      <c r="F17" s="62" t="s">
        <v>68</v>
      </c>
      <c r="G17" s="62" t="s">
        <v>176</v>
      </c>
      <c r="H17" s="177" t="s">
        <v>231</v>
      </c>
      <c r="I17" s="57" t="s">
        <v>124</v>
      </c>
      <c r="J17" s="15">
        <v>18000</v>
      </c>
      <c r="K17" s="15">
        <v>5998</v>
      </c>
      <c r="L17" s="15">
        <f t="shared" si="1"/>
        <v>107964000</v>
      </c>
      <c r="M17" s="15"/>
      <c r="N17" s="15">
        <f t="shared" si="2"/>
        <v>0</v>
      </c>
      <c r="O17" s="15" t="str">
        <f>IF(AND(A17='BANG KE NL'!$M$11,TH!C17="NL",LEFT(D17,1)="N"),"x","")</f>
        <v/>
      </c>
    </row>
    <row r="18" spans="1:15" hidden="1">
      <c r="A18" s="24">
        <f t="shared" si="3"/>
        <v>1</v>
      </c>
      <c r="B18" s="176" t="str">
        <f>IF(AND(MONTH(E18)='IN-NX'!$J$5,'IN-NX'!$D$7=(D18&amp;"/"&amp;C18)),"x","")</f>
        <v/>
      </c>
      <c r="C18" s="173" t="s">
        <v>226</v>
      </c>
      <c r="D18" s="173" t="s">
        <v>267</v>
      </c>
      <c r="E18" s="70">
        <v>42029</v>
      </c>
      <c r="F18" s="62" t="s">
        <v>68</v>
      </c>
      <c r="G18" s="62" t="s">
        <v>178</v>
      </c>
      <c r="H18" s="177" t="s">
        <v>231</v>
      </c>
      <c r="I18" s="57" t="s">
        <v>124</v>
      </c>
      <c r="J18" s="15">
        <v>18000</v>
      </c>
      <c r="K18" s="15">
        <v>6005</v>
      </c>
      <c r="L18" s="15">
        <f t="shared" si="1"/>
        <v>108090000</v>
      </c>
      <c r="M18" s="15"/>
      <c r="N18" s="15">
        <f t="shared" si="2"/>
        <v>0</v>
      </c>
      <c r="O18" s="15" t="str">
        <f>IF(AND(A18='BANG KE NL'!$M$11,TH!C18="NL",LEFT(D18,1)="N"),"x","")</f>
        <v/>
      </c>
    </row>
    <row r="19" spans="1:15" hidden="1">
      <c r="A19" s="24">
        <f t="shared" si="3"/>
        <v>1</v>
      </c>
      <c r="B19" s="176" t="str">
        <f>IF(AND(MONTH(E19)='IN-NX'!$J$5,'IN-NX'!$D$7=(D19&amp;"/"&amp;C19)),"x","")</f>
        <v/>
      </c>
      <c r="C19" s="173" t="s">
        <v>226</v>
      </c>
      <c r="D19" s="173" t="s">
        <v>238</v>
      </c>
      <c r="E19" s="70">
        <v>42015</v>
      </c>
      <c r="F19" s="62" t="s">
        <v>233</v>
      </c>
      <c r="G19" s="62" t="s">
        <v>184</v>
      </c>
      <c r="H19" s="177" t="s">
        <v>231</v>
      </c>
      <c r="I19" s="57" t="s">
        <v>124</v>
      </c>
      <c r="J19" s="15">
        <v>26500</v>
      </c>
      <c r="K19" s="15">
        <v>5983</v>
      </c>
      <c r="L19" s="15">
        <f t="shared" si="1"/>
        <v>158549500</v>
      </c>
      <c r="M19" s="15"/>
      <c r="N19" s="15">
        <f t="shared" si="2"/>
        <v>0</v>
      </c>
      <c r="O19" s="15" t="str">
        <f>IF(AND(A19='BANG KE NL'!$M$11,TH!C19="NL",LEFT(D19,1)="N"),"x","")</f>
        <v/>
      </c>
    </row>
    <row r="20" spans="1:15" hidden="1">
      <c r="A20" s="24">
        <f t="shared" si="3"/>
        <v>1</v>
      </c>
      <c r="B20" s="176" t="str">
        <f>IF(AND(MONTH(E20)='IN-NX'!$J$5,'IN-NX'!$D$7=(D20&amp;"/"&amp;C20)),"x","")</f>
        <v/>
      </c>
      <c r="C20" s="173" t="s">
        <v>226</v>
      </c>
      <c r="D20" s="173" t="s">
        <v>239</v>
      </c>
      <c r="E20" s="70">
        <v>42015</v>
      </c>
      <c r="F20" s="62" t="s">
        <v>233</v>
      </c>
      <c r="G20" s="62" t="s">
        <v>185</v>
      </c>
      <c r="H20" s="177" t="s">
        <v>231</v>
      </c>
      <c r="I20" s="57" t="s">
        <v>124</v>
      </c>
      <c r="J20" s="15">
        <v>26500</v>
      </c>
      <c r="K20" s="15">
        <v>5970</v>
      </c>
      <c r="L20" s="15">
        <f t="shared" si="1"/>
        <v>158205000</v>
      </c>
      <c r="M20" s="15"/>
      <c r="N20" s="15">
        <f t="shared" si="2"/>
        <v>0</v>
      </c>
      <c r="O20" s="15" t="str">
        <f>IF(AND(A20='BANG KE NL'!$M$11,TH!C20="NL",LEFT(D20,1)="N"),"x","")</f>
        <v/>
      </c>
    </row>
    <row r="21" spans="1:15" hidden="1">
      <c r="A21" s="24">
        <f t="shared" si="3"/>
        <v>1</v>
      </c>
      <c r="B21" s="176" t="str">
        <f>IF(AND(MONTH(E21)='IN-NX'!$J$5,'IN-NX'!$D$7=(D21&amp;"/"&amp;C21)),"x","")</f>
        <v/>
      </c>
      <c r="C21" s="173" t="s">
        <v>226</v>
      </c>
      <c r="D21" s="173" t="s">
        <v>240</v>
      </c>
      <c r="E21" s="70">
        <v>42015</v>
      </c>
      <c r="F21" s="62" t="s">
        <v>233</v>
      </c>
      <c r="G21" s="62" t="s">
        <v>186</v>
      </c>
      <c r="H21" s="177" t="s">
        <v>231</v>
      </c>
      <c r="I21" s="57" t="s">
        <v>124</v>
      </c>
      <c r="J21" s="15">
        <v>26500</v>
      </c>
      <c r="K21" s="15">
        <v>5976</v>
      </c>
      <c r="L21" s="15">
        <f t="shared" si="1"/>
        <v>158364000</v>
      </c>
      <c r="M21" s="15"/>
      <c r="N21" s="15">
        <f t="shared" si="2"/>
        <v>0</v>
      </c>
      <c r="O21" s="15" t="str">
        <f>IF(AND(A21='BANG KE NL'!$M$11,TH!C21="NL",LEFT(D21,1)="N"),"x","")</f>
        <v/>
      </c>
    </row>
    <row r="22" spans="1:15" hidden="1">
      <c r="A22" s="24">
        <f t="shared" si="3"/>
        <v>1</v>
      </c>
      <c r="B22" s="176" t="str">
        <f>IF(AND(MONTH(E22)='IN-NX'!$J$5,'IN-NX'!$D$7=(D22&amp;"/"&amp;C22)),"x","")</f>
        <v/>
      </c>
      <c r="C22" s="173" t="s">
        <v>226</v>
      </c>
      <c r="D22" s="173" t="s">
        <v>241</v>
      </c>
      <c r="E22" s="70">
        <v>42015</v>
      </c>
      <c r="F22" s="62" t="s">
        <v>233</v>
      </c>
      <c r="G22" s="62" t="s">
        <v>187</v>
      </c>
      <c r="H22" s="177" t="s">
        <v>231</v>
      </c>
      <c r="I22" s="57" t="s">
        <v>124</v>
      </c>
      <c r="J22" s="15">
        <v>26500</v>
      </c>
      <c r="K22" s="15">
        <v>5943</v>
      </c>
      <c r="L22" s="15">
        <f t="shared" si="1"/>
        <v>157489500</v>
      </c>
      <c r="M22" s="15"/>
      <c r="N22" s="15">
        <f t="shared" si="2"/>
        <v>0</v>
      </c>
      <c r="O22" s="15" t="str">
        <f>IF(AND(A22='BANG KE NL'!$M$11,TH!C22="NL",LEFT(D22,1)="N"),"x","")</f>
        <v/>
      </c>
    </row>
    <row r="23" spans="1:15" hidden="1">
      <c r="A23" s="24">
        <f t="shared" si="3"/>
        <v>1</v>
      </c>
      <c r="B23" s="176" t="str">
        <f>IF(AND(MONTH(E23)='IN-NX'!$J$5,'IN-NX'!$D$7=(D23&amp;"/"&amp;C23)),"x","")</f>
        <v/>
      </c>
      <c r="C23" s="173" t="s">
        <v>226</v>
      </c>
      <c r="D23" s="173" t="s">
        <v>246</v>
      </c>
      <c r="E23" s="70">
        <v>42020</v>
      </c>
      <c r="F23" s="62" t="s">
        <v>233</v>
      </c>
      <c r="G23" s="62" t="s">
        <v>197</v>
      </c>
      <c r="H23" s="177" t="s">
        <v>231</v>
      </c>
      <c r="I23" s="57" t="s">
        <v>124</v>
      </c>
      <c r="J23" s="15">
        <v>26500</v>
      </c>
      <c r="K23" s="15">
        <v>5960</v>
      </c>
      <c r="L23" s="15">
        <f t="shared" si="1"/>
        <v>157940000</v>
      </c>
      <c r="M23" s="15"/>
      <c r="N23" s="15">
        <f t="shared" si="2"/>
        <v>0</v>
      </c>
      <c r="O23" s="15" t="str">
        <f>IF(AND(A23='BANG KE NL'!$M$11,TH!C23="NL",LEFT(D23,1)="N"),"x","")</f>
        <v/>
      </c>
    </row>
    <row r="24" spans="1:15" hidden="1">
      <c r="A24" s="24">
        <f t="shared" si="3"/>
        <v>1</v>
      </c>
      <c r="B24" s="176" t="str">
        <f>IF(AND(MONTH(E24)='IN-NX'!$J$5,'IN-NX'!$D$7=(D24&amp;"/"&amp;C24)),"x","")</f>
        <v/>
      </c>
      <c r="C24" s="173" t="s">
        <v>226</v>
      </c>
      <c r="D24" s="173" t="s">
        <v>247</v>
      </c>
      <c r="E24" s="70">
        <v>42020</v>
      </c>
      <c r="F24" s="62" t="s">
        <v>233</v>
      </c>
      <c r="G24" s="62" t="s">
        <v>191</v>
      </c>
      <c r="H24" s="177" t="s">
        <v>231</v>
      </c>
      <c r="I24" s="57" t="s">
        <v>124</v>
      </c>
      <c r="J24" s="15">
        <v>26500</v>
      </c>
      <c r="K24" s="15">
        <v>5982</v>
      </c>
      <c r="L24" s="15">
        <f t="shared" si="1"/>
        <v>158523000</v>
      </c>
      <c r="M24" s="15"/>
      <c r="N24" s="15">
        <f t="shared" si="2"/>
        <v>0</v>
      </c>
      <c r="O24" s="15" t="str">
        <f>IF(AND(A24='BANG KE NL'!$M$11,TH!C24="NL",LEFT(D24,1)="N"),"x","")</f>
        <v/>
      </c>
    </row>
    <row r="25" spans="1:15" hidden="1">
      <c r="A25" s="24">
        <f t="shared" si="3"/>
        <v>1</v>
      </c>
      <c r="B25" s="176" t="str">
        <f>IF(AND(MONTH(E25)='IN-NX'!$J$5,'IN-NX'!$D$7=(D25&amp;"/"&amp;C25)),"x","")</f>
        <v/>
      </c>
      <c r="C25" s="173" t="s">
        <v>226</v>
      </c>
      <c r="D25" s="173" t="s">
        <v>248</v>
      </c>
      <c r="E25" s="70">
        <v>42020</v>
      </c>
      <c r="F25" s="62" t="s">
        <v>233</v>
      </c>
      <c r="G25" s="62" t="s">
        <v>192</v>
      </c>
      <c r="H25" s="177" t="s">
        <v>231</v>
      </c>
      <c r="I25" s="57" t="s">
        <v>124</v>
      </c>
      <c r="J25" s="15">
        <v>26500</v>
      </c>
      <c r="K25" s="15">
        <v>5980</v>
      </c>
      <c r="L25" s="15">
        <f t="shared" si="1"/>
        <v>158470000</v>
      </c>
      <c r="M25" s="15"/>
      <c r="N25" s="15">
        <f t="shared" si="2"/>
        <v>0</v>
      </c>
      <c r="O25" s="15" t="str">
        <f>IF(AND(A25='BANG KE NL'!$M$11,TH!C25="NL",LEFT(D25,1)="N"),"x","")</f>
        <v/>
      </c>
    </row>
    <row r="26" spans="1:15" hidden="1">
      <c r="A26" s="24">
        <f t="shared" si="3"/>
        <v>1</v>
      </c>
      <c r="B26" s="176" t="str">
        <f>IF(AND(MONTH(E26)='IN-NX'!$J$5,'IN-NX'!$D$7=(D26&amp;"/"&amp;C26)),"x","")</f>
        <v/>
      </c>
      <c r="C26" s="173" t="s">
        <v>226</v>
      </c>
      <c r="D26" s="173" t="s">
        <v>249</v>
      </c>
      <c r="E26" s="70">
        <v>42020</v>
      </c>
      <c r="F26" s="62" t="s">
        <v>233</v>
      </c>
      <c r="G26" s="62" t="s">
        <v>193</v>
      </c>
      <c r="H26" s="177" t="s">
        <v>231</v>
      </c>
      <c r="I26" s="57" t="s">
        <v>124</v>
      </c>
      <c r="J26" s="15">
        <v>26500</v>
      </c>
      <c r="K26" s="15">
        <v>5963</v>
      </c>
      <c r="L26" s="15">
        <f t="shared" si="1"/>
        <v>158019500</v>
      </c>
      <c r="M26" s="15"/>
      <c r="N26" s="15">
        <f t="shared" si="2"/>
        <v>0</v>
      </c>
      <c r="O26" s="15" t="str">
        <f>IF(AND(A26='BANG KE NL'!$M$11,TH!C26="NL",LEFT(D26,1)="N"),"x","")</f>
        <v/>
      </c>
    </row>
    <row r="27" spans="1:15" hidden="1">
      <c r="A27" s="24">
        <f t="shared" si="3"/>
        <v>1</v>
      </c>
      <c r="B27" s="176" t="str">
        <f>IF(AND(MONTH(E27)='IN-NX'!$J$5,'IN-NX'!$D$7=(D27&amp;"/"&amp;C27)),"x","")</f>
        <v/>
      </c>
      <c r="C27" s="173" t="s">
        <v>226</v>
      </c>
      <c r="D27" s="173" t="s">
        <v>250</v>
      </c>
      <c r="E27" s="70">
        <v>42021</v>
      </c>
      <c r="F27" s="62" t="s">
        <v>233</v>
      </c>
      <c r="G27" s="62" t="s">
        <v>169</v>
      </c>
      <c r="H27" s="177" t="s">
        <v>231</v>
      </c>
      <c r="I27" s="57" t="s">
        <v>124</v>
      </c>
      <c r="J27" s="15">
        <v>26500</v>
      </c>
      <c r="K27" s="15">
        <v>5930</v>
      </c>
      <c r="L27" s="15">
        <f t="shared" si="1"/>
        <v>157145000</v>
      </c>
      <c r="M27" s="15"/>
      <c r="N27" s="15">
        <f t="shared" si="2"/>
        <v>0</v>
      </c>
      <c r="O27" s="15" t="str">
        <f>IF(AND(A27='BANG KE NL'!$M$11,TH!C27="NL",LEFT(D27,1)="N"),"x","")</f>
        <v/>
      </c>
    </row>
    <row r="28" spans="1:15" hidden="1">
      <c r="A28" s="24">
        <f t="shared" si="3"/>
        <v>1</v>
      </c>
      <c r="B28" s="176" t="str">
        <f>IF(AND(MONTH(E28)='IN-NX'!$J$5,'IN-NX'!$D$7=(D28&amp;"/"&amp;C28)),"x","")</f>
        <v/>
      </c>
      <c r="C28" s="173" t="s">
        <v>226</v>
      </c>
      <c r="D28" s="173" t="s">
        <v>251</v>
      </c>
      <c r="E28" s="70">
        <v>42021</v>
      </c>
      <c r="F28" s="62" t="s">
        <v>233</v>
      </c>
      <c r="G28" s="62" t="s">
        <v>170</v>
      </c>
      <c r="H28" s="177" t="s">
        <v>231</v>
      </c>
      <c r="I28" s="57" t="s">
        <v>124</v>
      </c>
      <c r="J28" s="15">
        <v>26500</v>
      </c>
      <c r="K28" s="15">
        <v>5730</v>
      </c>
      <c r="L28" s="15">
        <f t="shared" si="1"/>
        <v>151845000</v>
      </c>
      <c r="M28" s="15"/>
      <c r="N28" s="15">
        <f t="shared" si="2"/>
        <v>0</v>
      </c>
      <c r="O28" s="15" t="str">
        <f>IF(AND(A28='BANG KE NL'!$M$11,TH!C28="NL",LEFT(D28,1)="N"),"x","")</f>
        <v/>
      </c>
    </row>
    <row r="29" spans="1:15" hidden="1">
      <c r="A29" s="24">
        <f t="shared" si="3"/>
        <v>1</v>
      </c>
      <c r="B29" s="176" t="str">
        <f>IF(AND(MONTH(E29)='IN-NX'!$J$5,'IN-NX'!$D$7=(D29&amp;"/"&amp;C29)),"x","")</f>
        <v/>
      </c>
      <c r="C29" s="173" t="s">
        <v>226</v>
      </c>
      <c r="D29" s="173" t="s">
        <v>252</v>
      </c>
      <c r="E29" s="70">
        <v>42021</v>
      </c>
      <c r="F29" s="62" t="s">
        <v>233</v>
      </c>
      <c r="G29" s="62" t="s">
        <v>171</v>
      </c>
      <c r="H29" s="177" t="s">
        <v>231</v>
      </c>
      <c r="I29" s="57" t="s">
        <v>124</v>
      </c>
      <c r="J29" s="15">
        <v>26500</v>
      </c>
      <c r="K29" s="15">
        <v>5930</v>
      </c>
      <c r="L29" s="15">
        <f t="shared" si="1"/>
        <v>157145000</v>
      </c>
      <c r="M29" s="15"/>
      <c r="N29" s="15">
        <f t="shared" si="2"/>
        <v>0</v>
      </c>
      <c r="O29" s="15" t="str">
        <f>IF(AND(A29='BANG KE NL'!$M$11,TH!C29="NL",LEFT(D29,1)="N"),"x","")</f>
        <v/>
      </c>
    </row>
    <row r="30" spans="1:15" hidden="1">
      <c r="A30" s="24">
        <f t="shared" si="3"/>
        <v>1</v>
      </c>
      <c r="B30" s="176" t="str">
        <f>IF(AND(MONTH(E30)='IN-NX'!$J$5,'IN-NX'!$D$7=(D30&amp;"/"&amp;C30)),"x","")</f>
        <v/>
      </c>
      <c r="C30" s="173" t="s">
        <v>226</v>
      </c>
      <c r="D30" s="173" t="s">
        <v>253</v>
      </c>
      <c r="E30" s="70">
        <v>42021</v>
      </c>
      <c r="F30" s="62" t="s">
        <v>233</v>
      </c>
      <c r="G30" s="62" t="s">
        <v>172</v>
      </c>
      <c r="H30" s="177" t="s">
        <v>231</v>
      </c>
      <c r="I30" s="57" t="s">
        <v>124</v>
      </c>
      <c r="J30" s="15">
        <v>26500</v>
      </c>
      <c r="K30" s="15">
        <v>5830</v>
      </c>
      <c r="L30" s="15">
        <f t="shared" si="1"/>
        <v>154495000</v>
      </c>
      <c r="M30" s="15"/>
      <c r="N30" s="15">
        <f t="shared" si="2"/>
        <v>0</v>
      </c>
      <c r="O30" s="15" t="str">
        <f>IF(AND(A30='BANG KE NL'!$M$11,TH!C30="NL",LEFT(D30,1)="N"),"x","")</f>
        <v/>
      </c>
    </row>
    <row r="31" spans="1:15" hidden="1">
      <c r="A31" s="24">
        <f t="shared" si="3"/>
        <v>1</v>
      </c>
      <c r="B31" s="176" t="str">
        <f>IF(AND(MONTH(E31)='IN-NX'!$J$5,'IN-NX'!$D$7=(D31&amp;"/"&amp;C31)),"x","")</f>
        <v/>
      </c>
      <c r="C31" s="173" t="s">
        <v>226</v>
      </c>
      <c r="D31" s="173" t="s">
        <v>257</v>
      </c>
      <c r="E31" s="70">
        <v>42025</v>
      </c>
      <c r="F31" s="62" t="s">
        <v>233</v>
      </c>
      <c r="G31" s="62" t="s">
        <v>194</v>
      </c>
      <c r="H31" s="177" t="s">
        <v>231</v>
      </c>
      <c r="I31" s="57" t="s">
        <v>124</v>
      </c>
      <c r="J31" s="15">
        <v>26500</v>
      </c>
      <c r="K31" s="15">
        <v>5864</v>
      </c>
      <c r="L31" s="15">
        <f t="shared" si="1"/>
        <v>155396000</v>
      </c>
      <c r="M31" s="15"/>
      <c r="N31" s="15">
        <f t="shared" si="2"/>
        <v>0</v>
      </c>
      <c r="O31" s="15" t="str">
        <f>IF(AND(A31='BANG KE NL'!$M$11,TH!C31="NL",LEFT(D31,1)="N"),"x","")</f>
        <v/>
      </c>
    </row>
    <row r="32" spans="1:15" hidden="1">
      <c r="A32" s="24">
        <f t="shared" si="3"/>
        <v>1</v>
      </c>
      <c r="B32" s="176" t="str">
        <f>IF(AND(MONTH(E32)='IN-NX'!$J$5,'IN-NX'!$D$7=(D32&amp;"/"&amp;C32)),"x","")</f>
        <v/>
      </c>
      <c r="C32" s="173" t="s">
        <v>226</v>
      </c>
      <c r="D32" s="173" t="s">
        <v>258</v>
      </c>
      <c r="E32" s="70">
        <v>42025</v>
      </c>
      <c r="F32" s="62" t="s">
        <v>233</v>
      </c>
      <c r="G32" s="62" t="s">
        <v>195</v>
      </c>
      <c r="H32" s="177" t="s">
        <v>231</v>
      </c>
      <c r="I32" s="57" t="s">
        <v>124</v>
      </c>
      <c r="J32" s="15">
        <v>26500</v>
      </c>
      <c r="K32" s="15">
        <v>5973</v>
      </c>
      <c r="L32" s="15">
        <f t="shared" si="1"/>
        <v>158284500</v>
      </c>
      <c r="M32" s="15"/>
      <c r="N32" s="15">
        <f t="shared" si="2"/>
        <v>0</v>
      </c>
      <c r="O32" s="15" t="str">
        <f>IF(AND(A32='BANG KE NL'!$M$11,TH!C32="NL",LEFT(D32,1)="N"),"x","")</f>
        <v/>
      </c>
    </row>
    <row r="33" spans="1:15" hidden="1">
      <c r="A33" s="24">
        <f t="shared" si="3"/>
        <v>1</v>
      </c>
      <c r="B33" s="176" t="str">
        <f>IF(AND(MONTH(E33)='IN-NX'!$J$5,'IN-NX'!$D$7=(D33&amp;"/"&amp;C33)),"x","")</f>
        <v/>
      </c>
      <c r="C33" s="173" t="s">
        <v>226</v>
      </c>
      <c r="D33" s="173" t="s">
        <v>259</v>
      </c>
      <c r="E33" s="70">
        <v>42025</v>
      </c>
      <c r="F33" s="62" t="s">
        <v>233</v>
      </c>
      <c r="G33" s="62" t="s">
        <v>196</v>
      </c>
      <c r="H33" s="177" t="s">
        <v>231</v>
      </c>
      <c r="I33" s="57" t="s">
        <v>124</v>
      </c>
      <c r="J33" s="15">
        <v>26500</v>
      </c>
      <c r="K33" s="15">
        <v>5982</v>
      </c>
      <c r="L33" s="15">
        <f t="shared" si="1"/>
        <v>158523000</v>
      </c>
      <c r="M33" s="15"/>
      <c r="N33" s="15">
        <f t="shared" si="2"/>
        <v>0</v>
      </c>
      <c r="O33" s="15" t="str">
        <f>IF(AND(A33='BANG KE NL'!$M$11,TH!C33="NL",LEFT(D33,1)="N"),"x","")</f>
        <v/>
      </c>
    </row>
    <row r="34" spans="1:15" hidden="1">
      <c r="A34" s="24">
        <f t="shared" si="3"/>
        <v>1</v>
      </c>
      <c r="B34" s="176" t="str">
        <f>IF(AND(MONTH(E34)='IN-NX'!$J$5,'IN-NX'!$D$7=(D34&amp;"/"&amp;C34)),"x","")</f>
        <v/>
      </c>
      <c r="C34" s="173" t="s">
        <v>226</v>
      </c>
      <c r="D34" s="173" t="s">
        <v>260</v>
      </c>
      <c r="E34" s="70">
        <v>42025</v>
      </c>
      <c r="F34" s="62" t="s">
        <v>233</v>
      </c>
      <c r="G34" s="62" t="s">
        <v>190</v>
      </c>
      <c r="H34" s="177" t="s">
        <v>231</v>
      </c>
      <c r="I34" s="57" t="s">
        <v>124</v>
      </c>
      <c r="J34" s="15">
        <v>26500</v>
      </c>
      <c r="K34" s="15">
        <v>5760</v>
      </c>
      <c r="L34" s="15">
        <f t="shared" si="1"/>
        <v>152640000</v>
      </c>
      <c r="M34" s="15"/>
      <c r="N34" s="15">
        <f t="shared" si="2"/>
        <v>0</v>
      </c>
      <c r="O34" s="15" t="str">
        <f>IF(AND(A34='BANG KE NL'!$M$11,TH!C34="NL",LEFT(D34,1)="N"),"x","")</f>
        <v/>
      </c>
    </row>
    <row r="35" spans="1:15" hidden="1">
      <c r="A35" s="24">
        <f t="shared" si="3"/>
        <v>1</v>
      </c>
      <c r="B35" s="176" t="str">
        <f>IF(AND(MONTH(E35)='IN-NX'!$J$5,'IN-NX'!$D$7=(D35&amp;"/"&amp;C35)),"x","")</f>
        <v/>
      </c>
      <c r="C35" s="173" t="s">
        <v>226</v>
      </c>
      <c r="D35" s="173" t="s">
        <v>261</v>
      </c>
      <c r="E35" s="70">
        <v>42028</v>
      </c>
      <c r="F35" s="62" t="s">
        <v>233</v>
      </c>
      <c r="G35" s="62" t="s">
        <v>182</v>
      </c>
      <c r="H35" s="177" t="s">
        <v>231</v>
      </c>
      <c r="I35" s="57" t="s">
        <v>124</v>
      </c>
      <c r="J35" s="15">
        <v>26500</v>
      </c>
      <c r="K35" s="15">
        <v>5930</v>
      </c>
      <c r="L35" s="15">
        <f t="shared" si="1"/>
        <v>157145000</v>
      </c>
      <c r="M35" s="15"/>
      <c r="N35" s="15">
        <f t="shared" si="2"/>
        <v>0</v>
      </c>
      <c r="O35" s="15" t="str">
        <f>IF(AND(A35='BANG KE NL'!$M$11,TH!C35="NL",LEFT(D35,1)="N"),"x","")</f>
        <v/>
      </c>
    </row>
    <row r="36" spans="1:15" hidden="1">
      <c r="A36" s="24">
        <f t="shared" si="3"/>
        <v>1</v>
      </c>
      <c r="B36" s="176" t="str">
        <f>IF(AND(MONTH(E36)='IN-NX'!$J$5,'IN-NX'!$D$7=(D36&amp;"/"&amp;C36)),"x","")</f>
        <v/>
      </c>
      <c r="C36" s="173" t="s">
        <v>226</v>
      </c>
      <c r="D36" s="173" t="s">
        <v>262</v>
      </c>
      <c r="E36" s="70">
        <v>42028</v>
      </c>
      <c r="F36" s="62" t="s">
        <v>233</v>
      </c>
      <c r="G36" s="62" t="s">
        <v>183</v>
      </c>
      <c r="H36" s="177" t="s">
        <v>231</v>
      </c>
      <c r="I36" s="57" t="s">
        <v>124</v>
      </c>
      <c r="J36" s="15">
        <v>26500</v>
      </c>
      <c r="K36" s="15">
        <v>5870</v>
      </c>
      <c r="L36" s="15">
        <f t="shared" si="1"/>
        <v>155555000</v>
      </c>
      <c r="M36" s="15"/>
      <c r="N36" s="15">
        <f t="shared" si="2"/>
        <v>0</v>
      </c>
      <c r="O36" s="15" t="str">
        <f>IF(AND(A36='BANG KE NL'!$M$11,TH!C36="NL",LEFT(D36,1)="N"),"x","")</f>
        <v/>
      </c>
    </row>
    <row r="37" spans="1:15" hidden="1">
      <c r="A37" s="24">
        <f t="shared" si="3"/>
        <v>1</v>
      </c>
      <c r="B37" s="176" t="str">
        <f>IF(AND(MONTH(E37)='IN-NX'!$J$5,'IN-NX'!$D$7=(D37&amp;"/"&amp;C37)),"x","")</f>
        <v/>
      </c>
      <c r="C37" s="173" t="s">
        <v>226</v>
      </c>
      <c r="D37" s="173" t="s">
        <v>263</v>
      </c>
      <c r="E37" s="70">
        <v>42028</v>
      </c>
      <c r="F37" s="62" t="s">
        <v>233</v>
      </c>
      <c r="G37" s="62" t="s">
        <v>184</v>
      </c>
      <c r="H37" s="177" t="s">
        <v>231</v>
      </c>
      <c r="I37" s="57" t="s">
        <v>124</v>
      </c>
      <c r="J37" s="15">
        <v>26500</v>
      </c>
      <c r="K37" s="15">
        <v>5984</v>
      </c>
      <c r="L37" s="15">
        <f t="shared" si="1"/>
        <v>158576000</v>
      </c>
      <c r="M37" s="15"/>
      <c r="N37" s="15">
        <f t="shared" si="2"/>
        <v>0</v>
      </c>
      <c r="O37" s="15" t="str">
        <f>IF(AND(A37='BANG KE NL'!$M$11,TH!C37="NL",LEFT(D37,1)="N"),"x","")</f>
        <v/>
      </c>
    </row>
    <row r="38" spans="1:15" hidden="1">
      <c r="A38" s="24">
        <f t="shared" si="3"/>
        <v>1</v>
      </c>
      <c r="B38" s="176" t="str">
        <f>IF(AND(MONTH(E38)='IN-NX'!$J$5,'IN-NX'!$D$7=(D38&amp;"/"&amp;C38)),"x","")</f>
        <v/>
      </c>
      <c r="C38" s="173" t="s">
        <v>226</v>
      </c>
      <c r="D38" s="173" t="s">
        <v>264</v>
      </c>
      <c r="E38" s="70">
        <v>42028</v>
      </c>
      <c r="F38" s="62" t="s">
        <v>233</v>
      </c>
      <c r="G38" s="62" t="s">
        <v>185</v>
      </c>
      <c r="H38" s="177" t="s">
        <v>231</v>
      </c>
      <c r="I38" s="57" t="s">
        <v>124</v>
      </c>
      <c r="J38" s="15">
        <v>26500</v>
      </c>
      <c r="K38" s="15">
        <v>5210</v>
      </c>
      <c r="L38" s="15">
        <f t="shared" si="1"/>
        <v>138065000</v>
      </c>
      <c r="M38" s="15"/>
      <c r="N38" s="15">
        <f t="shared" si="2"/>
        <v>0</v>
      </c>
      <c r="O38" s="15" t="str">
        <f>IF(AND(A38='BANG KE NL'!$M$11,TH!C38="NL",LEFT(D38,1)="N"),"x","")</f>
        <v/>
      </c>
    </row>
    <row r="39" spans="1:15" hidden="1">
      <c r="A39" s="24">
        <f t="shared" si="3"/>
        <v>1</v>
      </c>
      <c r="B39" s="176" t="str">
        <f>IF(AND(MONTH(E39)='IN-NX'!$J$5,'IN-NX'!$D$7=(D39&amp;"/"&amp;C39)),"x","")</f>
        <v/>
      </c>
      <c r="C39" s="173" t="s">
        <v>226</v>
      </c>
      <c r="D39" s="173" t="s">
        <v>214</v>
      </c>
      <c r="E39" s="70">
        <v>42006</v>
      </c>
      <c r="F39" s="62" t="s">
        <v>69</v>
      </c>
      <c r="G39" s="62" t="s">
        <v>168</v>
      </c>
      <c r="H39" s="177" t="s">
        <v>231</v>
      </c>
      <c r="I39" s="57" t="s">
        <v>124</v>
      </c>
      <c r="J39" s="15">
        <v>15000</v>
      </c>
      <c r="K39" s="15">
        <v>5982</v>
      </c>
      <c r="L39" s="15">
        <f t="shared" si="1"/>
        <v>89730000</v>
      </c>
      <c r="M39" s="15"/>
      <c r="N39" s="15">
        <f t="shared" si="2"/>
        <v>0</v>
      </c>
      <c r="O39" s="15" t="str">
        <f>IF(AND(A39='BANG KE NL'!$M$11,TH!C39="NL",LEFT(D39,1)="N"),"x","")</f>
        <v/>
      </c>
    </row>
    <row r="40" spans="1:15" hidden="1">
      <c r="A40" s="24">
        <f t="shared" si="3"/>
        <v>1</v>
      </c>
      <c r="B40" s="176" t="str">
        <f>IF(AND(MONTH(E40)='IN-NX'!$J$5,'IN-NX'!$D$7=(D40&amp;"/"&amp;C40)),"x","")</f>
        <v/>
      </c>
      <c r="C40" s="173" t="s">
        <v>226</v>
      </c>
      <c r="D40" s="173" t="s">
        <v>215</v>
      </c>
      <c r="E40" s="70">
        <v>42006</v>
      </c>
      <c r="F40" s="62" t="s">
        <v>69</v>
      </c>
      <c r="G40" s="62" t="s">
        <v>169</v>
      </c>
      <c r="H40" s="177" t="s">
        <v>231</v>
      </c>
      <c r="I40" s="57" t="s">
        <v>124</v>
      </c>
      <c r="J40" s="15">
        <v>15000</v>
      </c>
      <c r="K40" s="15">
        <v>5760</v>
      </c>
      <c r="L40" s="15">
        <f t="shared" si="1"/>
        <v>86400000</v>
      </c>
      <c r="M40" s="15"/>
      <c r="N40" s="15">
        <f t="shared" si="2"/>
        <v>0</v>
      </c>
      <c r="O40" s="15" t="str">
        <f>IF(AND(A40='BANG KE NL'!$M$11,TH!C40="NL",LEFT(D40,1)="N"),"x","")</f>
        <v/>
      </c>
    </row>
    <row r="41" spans="1:15" hidden="1">
      <c r="A41" s="24">
        <f t="shared" si="3"/>
        <v>1</v>
      </c>
      <c r="B41" s="176" t="str">
        <f>IF(AND(MONTH(E41)='IN-NX'!$J$5,'IN-NX'!$D$7=(D41&amp;"/"&amp;C41)),"x","")</f>
        <v/>
      </c>
      <c r="C41" s="173" t="s">
        <v>226</v>
      </c>
      <c r="D41" s="173" t="s">
        <v>216</v>
      </c>
      <c r="E41" s="70">
        <v>42006</v>
      </c>
      <c r="F41" s="62" t="s">
        <v>69</v>
      </c>
      <c r="G41" s="62" t="s">
        <v>170</v>
      </c>
      <c r="H41" s="177" t="s">
        <v>231</v>
      </c>
      <c r="I41" s="57" t="s">
        <v>124</v>
      </c>
      <c r="J41" s="15">
        <v>15000</v>
      </c>
      <c r="K41" s="15">
        <v>5310</v>
      </c>
      <c r="L41" s="15">
        <f t="shared" si="1"/>
        <v>79650000</v>
      </c>
      <c r="M41" s="15"/>
      <c r="N41" s="15">
        <f t="shared" si="2"/>
        <v>0</v>
      </c>
      <c r="O41" s="15" t="str">
        <f>IF(AND(A41='BANG KE NL'!$M$11,TH!C41="NL",LEFT(D41,1)="N"),"x","")</f>
        <v/>
      </c>
    </row>
    <row r="42" spans="1:15" hidden="1">
      <c r="A42" s="24">
        <f t="shared" si="3"/>
        <v>1</v>
      </c>
      <c r="B42" s="176" t="str">
        <f>IF(AND(MONTH(E42)='IN-NX'!$J$5,'IN-NX'!$D$7=(D42&amp;"/"&amp;C42)),"x","")</f>
        <v/>
      </c>
      <c r="C42" s="173" t="s">
        <v>226</v>
      </c>
      <c r="D42" s="173" t="s">
        <v>217</v>
      </c>
      <c r="E42" s="70">
        <v>42008</v>
      </c>
      <c r="F42" s="62" t="s">
        <v>69</v>
      </c>
      <c r="G42" s="62" t="s">
        <v>172</v>
      </c>
      <c r="H42" s="177" t="s">
        <v>231</v>
      </c>
      <c r="I42" s="57" t="s">
        <v>124</v>
      </c>
      <c r="J42" s="15">
        <v>15000</v>
      </c>
      <c r="K42" s="15">
        <v>5930</v>
      </c>
      <c r="L42" s="15">
        <f t="shared" si="1"/>
        <v>88950000</v>
      </c>
      <c r="M42" s="15"/>
      <c r="N42" s="15">
        <f t="shared" si="2"/>
        <v>0</v>
      </c>
      <c r="O42" s="15" t="str">
        <f>IF(AND(A42='BANG KE NL'!$M$11,TH!C42="NL",LEFT(D42,1)="N"),"x","")</f>
        <v/>
      </c>
    </row>
    <row r="43" spans="1:15" hidden="1">
      <c r="A43" s="24">
        <f t="shared" si="3"/>
        <v>1</v>
      </c>
      <c r="B43" s="176" t="str">
        <f>IF(AND(MONTH(E43)='IN-NX'!$J$5,'IN-NX'!$D$7=(D43&amp;"/"&amp;C43)),"x","")</f>
        <v/>
      </c>
      <c r="C43" s="173" t="s">
        <v>226</v>
      </c>
      <c r="D43" s="173" t="s">
        <v>218</v>
      </c>
      <c r="E43" s="70">
        <v>42008</v>
      </c>
      <c r="F43" s="62" t="s">
        <v>69</v>
      </c>
      <c r="G43" s="62" t="s">
        <v>168</v>
      </c>
      <c r="H43" s="177" t="s">
        <v>231</v>
      </c>
      <c r="I43" s="57" t="s">
        <v>124</v>
      </c>
      <c r="J43" s="15">
        <v>15000</v>
      </c>
      <c r="K43" s="15">
        <v>5970</v>
      </c>
      <c r="L43" s="15">
        <f t="shared" si="1"/>
        <v>89550000</v>
      </c>
      <c r="M43" s="15"/>
      <c r="N43" s="15">
        <f t="shared" si="2"/>
        <v>0</v>
      </c>
      <c r="O43" s="15" t="str">
        <f>IF(AND(A43='BANG KE NL'!$M$11,TH!C43="NL",LEFT(D43,1)="N"),"x","")</f>
        <v/>
      </c>
    </row>
    <row r="44" spans="1:15" hidden="1">
      <c r="A44" s="24">
        <f t="shared" si="3"/>
        <v>1</v>
      </c>
      <c r="B44" s="176" t="str">
        <f>IF(AND(MONTH(E44)='IN-NX'!$J$5,'IN-NX'!$D$7=(D44&amp;"/"&amp;C44)),"x","")</f>
        <v/>
      </c>
      <c r="C44" s="173" t="s">
        <v>226</v>
      </c>
      <c r="D44" s="173" t="s">
        <v>219</v>
      </c>
      <c r="E44" s="70">
        <v>42011</v>
      </c>
      <c r="F44" s="62" t="s">
        <v>69</v>
      </c>
      <c r="G44" s="19" t="s">
        <v>169</v>
      </c>
      <c r="H44" s="177" t="s">
        <v>231</v>
      </c>
      <c r="I44" s="57" t="s">
        <v>124</v>
      </c>
      <c r="J44" s="15">
        <v>15000</v>
      </c>
      <c r="K44" s="15">
        <v>5930</v>
      </c>
      <c r="L44" s="15">
        <f t="shared" si="1"/>
        <v>88950000</v>
      </c>
      <c r="M44" s="15"/>
      <c r="N44" s="15">
        <f t="shared" si="2"/>
        <v>0</v>
      </c>
      <c r="O44" s="15" t="str">
        <f>IF(AND(A44='BANG KE NL'!$M$11,TH!C44="NL",LEFT(D44,1)="N"),"x","")</f>
        <v/>
      </c>
    </row>
    <row r="45" spans="1:15" hidden="1">
      <c r="A45" s="24">
        <f t="shared" si="3"/>
        <v>1</v>
      </c>
      <c r="B45" s="176" t="str">
        <f>IF(AND(MONTH(E45)='IN-NX'!$J$5,'IN-NX'!$D$7=(D45&amp;"/"&amp;C45)),"x","")</f>
        <v/>
      </c>
      <c r="C45" s="173" t="s">
        <v>226</v>
      </c>
      <c r="D45" s="173" t="s">
        <v>232</v>
      </c>
      <c r="E45" s="70">
        <v>42011</v>
      </c>
      <c r="F45" s="62" t="s">
        <v>69</v>
      </c>
      <c r="G45" s="19" t="s">
        <v>170</v>
      </c>
      <c r="H45" s="177" t="s">
        <v>231</v>
      </c>
      <c r="I45" s="57" t="s">
        <v>124</v>
      </c>
      <c r="J45" s="15">
        <v>15000</v>
      </c>
      <c r="K45" s="15">
        <v>5822</v>
      </c>
      <c r="L45" s="15">
        <f t="shared" si="1"/>
        <v>87330000</v>
      </c>
      <c r="M45" s="15"/>
      <c r="N45" s="15">
        <f t="shared" si="2"/>
        <v>0</v>
      </c>
      <c r="O45" s="15" t="str">
        <f>IF(AND(A45='BANG KE NL'!$M$11,TH!C45="NL",LEFT(D45,1)="N"),"x","")</f>
        <v/>
      </c>
    </row>
    <row r="46" spans="1:15" hidden="1">
      <c r="A46" s="24">
        <f t="shared" si="3"/>
        <v>1</v>
      </c>
      <c r="B46" s="176" t="str">
        <f>IF(AND(MONTH(E46)='IN-NX'!$J$5,'IN-NX'!$D$7=(D46&amp;"/"&amp;C46)),"x","")</f>
        <v/>
      </c>
      <c r="C46" s="173" t="s">
        <v>226</v>
      </c>
      <c r="D46" s="173" t="s">
        <v>220</v>
      </c>
      <c r="E46" s="70">
        <v>42006</v>
      </c>
      <c r="F46" s="62" t="s">
        <v>69</v>
      </c>
      <c r="G46" s="19" t="s">
        <v>229</v>
      </c>
      <c r="H46" s="177" t="s">
        <v>97</v>
      </c>
      <c r="I46" s="57">
        <v>1521</v>
      </c>
      <c r="J46" s="15">
        <v>15000</v>
      </c>
      <c r="K46" s="15"/>
      <c r="L46" s="15">
        <f t="shared" si="1"/>
        <v>0</v>
      </c>
      <c r="M46" s="15">
        <v>17052</v>
      </c>
      <c r="N46" s="15">
        <f t="shared" si="2"/>
        <v>255780000</v>
      </c>
      <c r="O46" s="15" t="str">
        <f>IF(AND(A46='BANG KE NL'!$M$11,TH!C46="NL",LEFT(D46,1)="N"),"x","")</f>
        <v/>
      </c>
    </row>
    <row r="47" spans="1:15" hidden="1">
      <c r="A47" s="24">
        <f t="shared" si="3"/>
        <v>1</v>
      </c>
      <c r="B47" s="176" t="str">
        <f>IF(AND(MONTH(E47)='IN-NX'!$J$5,'IN-NX'!$D$7=(D47&amp;"/"&amp;C47)),"x","")</f>
        <v/>
      </c>
      <c r="C47" s="173" t="s">
        <v>226</v>
      </c>
      <c r="D47" s="173" t="s">
        <v>221</v>
      </c>
      <c r="E47" s="70">
        <v>42008</v>
      </c>
      <c r="F47" s="62" t="s">
        <v>69</v>
      </c>
      <c r="G47" s="19" t="s">
        <v>229</v>
      </c>
      <c r="H47" s="177" t="s">
        <v>97</v>
      </c>
      <c r="I47" s="57">
        <v>1521</v>
      </c>
      <c r="J47" s="15">
        <v>15000</v>
      </c>
      <c r="K47" s="15"/>
      <c r="L47" s="15">
        <f t="shared" si="1"/>
        <v>0</v>
      </c>
      <c r="M47" s="15">
        <v>11900</v>
      </c>
      <c r="N47" s="15">
        <f t="shared" si="2"/>
        <v>178500000</v>
      </c>
      <c r="O47" s="15" t="str">
        <f>IF(AND(A47='BANG KE NL'!$M$11,TH!C47="NL",LEFT(D47,1)="N"),"x","")</f>
        <v/>
      </c>
    </row>
    <row r="48" spans="1:15" hidden="1">
      <c r="A48" s="24">
        <f t="shared" si="3"/>
        <v>1</v>
      </c>
      <c r="B48" s="176" t="str">
        <f>IF(AND(MONTH(E48)='IN-NX'!$J$5,'IN-NX'!$D$7=(D48&amp;"/"&amp;C48)),"x","")</f>
        <v/>
      </c>
      <c r="C48" s="173" t="s">
        <v>226</v>
      </c>
      <c r="D48" s="173" t="s">
        <v>222</v>
      </c>
      <c r="E48" s="70">
        <v>42011</v>
      </c>
      <c r="F48" s="62" t="s">
        <v>69</v>
      </c>
      <c r="G48" s="19" t="s">
        <v>229</v>
      </c>
      <c r="H48" s="177" t="s">
        <v>97</v>
      </c>
      <c r="I48" s="57">
        <v>1521</v>
      </c>
      <c r="J48" s="68">
        <v>15000</v>
      </c>
      <c r="K48" s="68"/>
      <c r="L48" s="15">
        <f t="shared" si="1"/>
        <v>0</v>
      </c>
      <c r="M48" s="15">
        <v>11752</v>
      </c>
      <c r="N48" s="15">
        <f t="shared" si="2"/>
        <v>176280000</v>
      </c>
      <c r="O48" s="15" t="str">
        <f>IF(AND(A48='BANG KE NL'!$M$11,TH!C48="NL",LEFT(D48,1)="N"),"x","")</f>
        <v/>
      </c>
    </row>
    <row r="49" spans="1:15" hidden="1">
      <c r="A49" s="24">
        <f t="shared" si="3"/>
        <v>1</v>
      </c>
      <c r="B49" s="176" t="str">
        <f>IF(AND(MONTH(E49)='IN-NX'!$J$5,'IN-NX'!$D$7=(D49&amp;"/"&amp;C49)),"x","")</f>
        <v/>
      </c>
      <c r="C49" s="173" t="s">
        <v>226</v>
      </c>
      <c r="D49" s="173" t="s">
        <v>223</v>
      </c>
      <c r="E49" s="70">
        <v>42012</v>
      </c>
      <c r="F49" s="62" t="s">
        <v>68</v>
      </c>
      <c r="G49" s="19" t="s">
        <v>229</v>
      </c>
      <c r="H49" s="177" t="s">
        <v>97</v>
      </c>
      <c r="I49" s="57">
        <v>1521</v>
      </c>
      <c r="J49" s="15">
        <v>18000</v>
      </c>
      <c r="K49" s="15"/>
      <c r="L49" s="15">
        <f t="shared" si="1"/>
        <v>0</v>
      </c>
      <c r="M49" s="68">
        <v>23321</v>
      </c>
      <c r="N49" s="15">
        <f t="shared" si="2"/>
        <v>419778000</v>
      </c>
      <c r="O49" s="15" t="str">
        <f>IF(AND(A49='BANG KE NL'!$M$11,TH!C49="NL",LEFT(D49,1)="N"),"x","")</f>
        <v/>
      </c>
    </row>
    <row r="50" spans="1:15" hidden="1">
      <c r="A50" s="24">
        <f t="shared" si="3"/>
        <v>1</v>
      </c>
      <c r="B50" s="176" t="str">
        <f>IF(AND(MONTH(E50)='IN-NX'!$J$5,'IN-NX'!$D$7=(D50&amp;"/"&amp;C50)),"x","")</f>
        <v/>
      </c>
      <c r="C50" s="173" t="s">
        <v>226</v>
      </c>
      <c r="D50" s="173" t="s">
        <v>230</v>
      </c>
      <c r="E50" s="70">
        <v>42015</v>
      </c>
      <c r="F50" s="62" t="s">
        <v>233</v>
      </c>
      <c r="G50" s="19" t="s">
        <v>229</v>
      </c>
      <c r="H50" s="177" t="s">
        <v>97</v>
      </c>
      <c r="I50" s="57">
        <v>1521</v>
      </c>
      <c r="J50" s="68">
        <v>26500</v>
      </c>
      <c r="K50" s="68"/>
      <c r="L50" s="15">
        <f t="shared" si="1"/>
        <v>0</v>
      </c>
      <c r="M50" s="15">
        <v>23872</v>
      </c>
      <c r="N50" s="15">
        <f t="shared" si="2"/>
        <v>632608000</v>
      </c>
      <c r="O50" s="15" t="str">
        <f>IF(AND(A50='BANG KE NL'!$M$11,TH!C50="NL",LEFT(D50,1)="N"),"x","")</f>
        <v/>
      </c>
    </row>
    <row r="51" spans="1:15" hidden="1">
      <c r="A51" s="24">
        <f t="shared" si="3"/>
        <v>1</v>
      </c>
      <c r="B51" s="176" t="str">
        <f>IF(AND(MONTH(E51)='IN-NX'!$J$5,'IN-NX'!$D$7=(D51&amp;"/"&amp;C51)),"x","")</f>
        <v/>
      </c>
      <c r="C51" s="173" t="s">
        <v>226</v>
      </c>
      <c r="D51" s="173" t="s">
        <v>268</v>
      </c>
      <c r="E51" s="70">
        <v>42019</v>
      </c>
      <c r="F51" s="62" t="s">
        <v>68</v>
      </c>
      <c r="G51" s="19" t="s">
        <v>229</v>
      </c>
      <c r="H51" s="177" t="s">
        <v>97</v>
      </c>
      <c r="I51" s="57">
        <v>1521</v>
      </c>
      <c r="J51" s="15">
        <v>18000</v>
      </c>
      <c r="K51" s="15"/>
      <c r="L51" s="15">
        <f t="shared" si="1"/>
        <v>0</v>
      </c>
      <c r="M51" s="68">
        <v>23503</v>
      </c>
      <c r="N51" s="15">
        <f t="shared" si="2"/>
        <v>423054000</v>
      </c>
      <c r="O51" s="15" t="str">
        <f>IF(AND(A51='BANG KE NL'!$M$11,TH!C51="NL",LEFT(D51,1)="N"),"x","")</f>
        <v/>
      </c>
    </row>
    <row r="52" spans="1:15" hidden="1">
      <c r="A52" s="24">
        <f t="shared" si="3"/>
        <v>1</v>
      </c>
      <c r="B52" s="176" t="str">
        <f>IF(AND(MONTH(E52)='IN-NX'!$J$5,'IN-NX'!$D$7=(D52&amp;"/"&amp;C52)),"x","")</f>
        <v/>
      </c>
      <c r="C52" s="173" t="s">
        <v>226</v>
      </c>
      <c r="D52" s="173" t="s">
        <v>269</v>
      </c>
      <c r="E52" s="70">
        <v>42020</v>
      </c>
      <c r="F52" s="62" t="s">
        <v>233</v>
      </c>
      <c r="G52" s="62" t="s">
        <v>229</v>
      </c>
      <c r="H52" s="177" t="s">
        <v>97</v>
      </c>
      <c r="I52" s="57">
        <v>1521</v>
      </c>
      <c r="J52" s="15">
        <v>26500</v>
      </c>
      <c r="K52" s="15"/>
      <c r="L52" s="15">
        <f t="shared" si="1"/>
        <v>0</v>
      </c>
      <c r="M52" s="15">
        <v>23885</v>
      </c>
      <c r="N52" s="15">
        <f t="shared" si="2"/>
        <v>632952500</v>
      </c>
      <c r="O52" s="15" t="str">
        <f>IF(AND(A52='BANG KE NL'!$M$11,TH!C52="NL",LEFT(D52,1)="N"),"x","")</f>
        <v/>
      </c>
    </row>
    <row r="53" spans="1:15" hidden="1">
      <c r="A53" s="24">
        <f t="shared" si="3"/>
        <v>1</v>
      </c>
      <c r="B53" s="176" t="str">
        <f>IF(AND(MONTH(E53)='IN-NX'!$J$5,'IN-NX'!$D$7=(D53&amp;"/"&amp;C53)),"x","")</f>
        <v/>
      </c>
      <c r="C53" s="173" t="s">
        <v>226</v>
      </c>
      <c r="D53" s="173" t="s">
        <v>270</v>
      </c>
      <c r="E53" s="70">
        <v>42021</v>
      </c>
      <c r="F53" s="62" t="s">
        <v>233</v>
      </c>
      <c r="G53" s="19" t="s">
        <v>229</v>
      </c>
      <c r="H53" s="177" t="s">
        <v>97</v>
      </c>
      <c r="I53" s="57">
        <v>1521</v>
      </c>
      <c r="J53" s="15">
        <v>26500</v>
      </c>
      <c r="K53" s="15"/>
      <c r="L53" s="15">
        <f t="shared" si="1"/>
        <v>0</v>
      </c>
      <c r="M53" s="15">
        <v>23420</v>
      </c>
      <c r="N53" s="15">
        <f t="shared" si="2"/>
        <v>620630000</v>
      </c>
      <c r="O53" s="15" t="str">
        <f>IF(AND(A53='BANG KE NL'!$M$11,TH!C53="NL",LEFT(D53,1)="N"),"x","")</f>
        <v/>
      </c>
    </row>
    <row r="54" spans="1:15" hidden="1">
      <c r="A54" s="24">
        <f t="shared" si="3"/>
        <v>1</v>
      </c>
      <c r="B54" s="176" t="str">
        <f>IF(AND(MONTH(E54)='IN-NX'!$J$5,'IN-NX'!$D$7=(D54&amp;"/"&amp;C54)),"x","")</f>
        <v/>
      </c>
      <c r="C54" s="173" t="s">
        <v>226</v>
      </c>
      <c r="D54" s="173" t="s">
        <v>271</v>
      </c>
      <c r="E54" s="70">
        <v>42025</v>
      </c>
      <c r="F54" s="62" t="s">
        <v>68</v>
      </c>
      <c r="G54" s="19" t="s">
        <v>229</v>
      </c>
      <c r="H54" s="177" t="s">
        <v>97</v>
      </c>
      <c r="I54" s="57">
        <v>1521</v>
      </c>
      <c r="J54" s="15">
        <v>18000</v>
      </c>
      <c r="K54" s="15"/>
      <c r="L54" s="15">
        <f t="shared" si="1"/>
        <v>0</v>
      </c>
      <c r="M54" s="15">
        <v>17583</v>
      </c>
      <c r="N54" s="15">
        <f t="shared" si="2"/>
        <v>316494000</v>
      </c>
      <c r="O54" s="15" t="str">
        <f>IF(AND(A54='BANG KE NL'!$M$11,TH!C54="NL",LEFT(D54,1)="N"),"x","")</f>
        <v/>
      </c>
    </row>
    <row r="55" spans="1:15" hidden="1">
      <c r="A55" s="24">
        <f t="shared" si="3"/>
        <v>1</v>
      </c>
      <c r="B55" s="176" t="str">
        <f>IF(AND(MONTH(E55)='IN-NX'!$J$5,'IN-NX'!$D$7=(D55&amp;"/"&amp;C55)),"x","")</f>
        <v/>
      </c>
      <c r="C55" s="173" t="s">
        <v>226</v>
      </c>
      <c r="D55" s="173" t="s">
        <v>272</v>
      </c>
      <c r="E55" s="70">
        <v>42025</v>
      </c>
      <c r="F55" s="62" t="s">
        <v>233</v>
      </c>
      <c r="G55" s="19" t="s">
        <v>229</v>
      </c>
      <c r="H55" s="177" t="s">
        <v>97</v>
      </c>
      <c r="I55" s="57">
        <v>1521</v>
      </c>
      <c r="J55" s="15">
        <v>26500</v>
      </c>
      <c r="K55" s="15"/>
      <c r="L55" s="15">
        <f t="shared" si="1"/>
        <v>0</v>
      </c>
      <c r="M55" s="15">
        <v>23579</v>
      </c>
      <c r="N55" s="15">
        <f t="shared" si="2"/>
        <v>624843500</v>
      </c>
      <c r="O55" s="15" t="str">
        <f>IF(AND(A55='BANG KE NL'!$M$11,TH!C55="NL",LEFT(D55,1)="N"),"x","")</f>
        <v/>
      </c>
    </row>
    <row r="56" spans="1:15" hidden="1">
      <c r="A56" s="24">
        <f t="shared" si="3"/>
        <v>1</v>
      </c>
      <c r="B56" s="176" t="str">
        <f>IF(AND(MONTH(E56)='IN-NX'!$J$5,'IN-NX'!$D$7=(D56&amp;"/"&amp;C56)),"x","")</f>
        <v/>
      </c>
      <c r="C56" s="173" t="s">
        <v>226</v>
      </c>
      <c r="D56" s="173" t="s">
        <v>273</v>
      </c>
      <c r="E56" s="70">
        <v>42028</v>
      </c>
      <c r="F56" s="62" t="s">
        <v>233</v>
      </c>
      <c r="G56" s="19" t="s">
        <v>229</v>
      </c>
      <c r="H56" s="177" t="s">
        <v>97</v>
      </c>
      <c r="I56" s="57">
        <v>1521</v>
      </c>
      <c r="J56" s="15">
        <v>26500</v>
      </c>
      <c r="K56" s="15"/>
      <c r="L56" s="15">
        <f t="shared" si="1"/>
        <v>0</v>
      </c>
      <c r="M56" s="15">
        <v>22994</v>
      </c>
      <c r="N56" s="15">
        <f t="shared" si="2"/>
        <v>609341000</v>
      </c>
      <c r="O56" s="15" t="str">
        <f>IF(AND(A56='BANG KE NL'!$M$11,TH!C56="NL",LEFT(D56,1)="N"),"x","")</f>
        <v/>
      </c>
    </row>
    <row r="57" spans="1:15" hidden="1">
      <c r="A57" s="24">
        <f t="shared" si="3"/>
        <v>1</v>
      </c>
      <c r="B57" s="176" t="str">
        <f>IF(AND(MONTH(E57)='IN-NX'!$J$5,'IN-NX'!$D$7=(D57&amp;"/"&amp;C57)),"x","")</f>
        <v/>
      </c>
      <c r="C57" s="173" t="s">
        <v>226</v>
      </c>
      <c r="D57" s="173" t="s">
        <v>274</v>
      </c>
      <c r="E57" s="70">
        <v>42029</v>
      </c>
      <c r="F57" s="62" t="s">
        <v>68</v>
      </c>
      <c r="G57" s="62" t="s">
        <v>229</v>
      </c>
      <c r="H57" s="177" t="s">
        <v>97</v>
      </c>
      <c r="I57" s="57">
        <v>1521</v>
      </c>
      <c r="J57" s="15">
        <v>18000</v>
      </c>
      <c r="K57" s="15"/>
      <c r="L57" s="15">
        <f t="shared" si="1"/>
        <v>0</v>
      </c>
      <c r="M57" s="15">
        <v>17943</v>
      </c>
      <c r="N57" s="15">
        <f t="shared" si="2"/>
        <v>322974000</v>
      </c>
      <c r="O57" s="15" t="str">
        <f>IF(AND(A57='BANG KE NL'!$M$11,TH!C57="NL",LEFT(D57,1)="N"),"x","")</f>
        <v/>
      </c>
    </row>
    <row r="58" spans="1:15" hidden="1">
      <c r="A58" s="24">
        <f t="shared" si="3"/>
        <v>2</v>
      </c>
      <c r="B58" s="176" t="str">
        <f>IF(AND(MONTH(E58)='IN-NX'!$J$5,'IN-NX'!$D$7=(D58&amp;"/"&amp;C58)),"x","")</f>
        <v/>
      </c>
      <c r="C58" s="173" t="s">
        <v>226</v>
      </c>
      <c r="D58" s="173" t="s">
        <v>214</v>
      </c>
      <c r="E58" s="70">
        <v>42036</v>
      </c>
      <c r="F58" s="62" t="s">
        <v>42</v>
      </c>
      <c r="G58" s="62" t="s">
        <v>169</v>
      </c>
      <c r="H58" s="177" t="s">
        <v>231</v>
      </c>
      <c r="I58" s="57" t="s">
        <v>124</v>
      </c>
      <c r="J58" s="15">
        <v>29500</v>
      </c>
      <c r="K58" s="15">
        <v>5980</v>
      </c>
      <c r="L58" s="15">
        <f t="shared" si="1"/>
        <v>176410000</v>
      </c>
      <c r="M58" s="15"/>
      <c r="N58" s="15">
        <f t="shared" si="2"/>
        <v>0</v>
      </c>
      <c r="O58" s="15" t="str">
        <f>IF(AND(A58='BANG KE NL'!$M$11,TH!C58="NL",LEFT(D58,1)="N"),"x","")</f>
        <v/>
      </c>
    </row>
    <row r="59" spans="1:15" hidden="1">
      <c r="A59" s="24">
        <f t="shared" si="3"/>
        <v>2</v>
      </c>
      <c r="B59" s="176" t="str">
        <f>IF(AND(MONTH(E59)='IN-NX'!$J$5,'IN-NX'!$D$7=(D59&amp;"/"&amp;C59)),"x","")</f>
        <v/>
      </c>
      <c r="C59" s="173" t="s">
        <v>226</v>
      </c>
      <c r="D59" s="173" t="s">
        <v>215</v>
      </c>
      <c r="E59" s="70">
        <v>42036</v>
      </c>
      <c r="F59" s="62" t="s">
        <v>42</v>
      </c>
      <c r="G59" s="62" t="s">
        <v>170</v>
      </c>
      <c r="H59" s="177" t="s">
        <v>231</v>
      </c>
      <c r="I59" s="57" t="s">
        <v>124</v>
      </c>
      <c r="J59" s="15">
        <v>29500</v>
      </c>
      <c r="K59" s="15">
        <v>5973</v>
      </c>
      <c r="L59" s="15">
        <f t="shared" si="1"/>
        <v>176203500</v>
      </c>
      <c r="M59" s="15"/>
      <c r="N59" s="15">
        <f t="shared" si="2"/>
        <v>0</v>
      </c>
      <c r="O59" s="15" t="str">
        <f>IF(AND(A59='BANG KE NL'!$M$11,TH!C59="NL",LEFT(D59,1)="N"),"x","")</f>
        <v/>
      </c>
    </row>
    <row r="60" spans="1:15" hidden="1">
      <c r="A60" s="24">
        <f t="shared" si="3"/>
        <v>2</v>
      </c>
      <c r="B60" s="176" t="str">
        <f>IF(AND(MONTH(E60)='IN-NX'!$J$5,'IN-NX'!$D$7=(D60&amp;"/"&amp;C60)),"x","")</f>
        <v/>
      </c>
      <c r="C60" s="173" t="s">
        <v>226</v>
      </c>
      <c r="D60" s="173" t="s">
        <v>216</v>
      </c>
      <c r="E60" s="70">
        <v>42036</v>
      </c>
      <c r="F60" s="62" t="s">
        <v>42</v>
      </c>
      <c r="G60" s="62" t="s">
        <v>171</v>
      </c>
      <c r="H60" s="177" t="s">
        <v>231</v>
      </c>
      <c r="I60" s="57" t="s">
        <v>124</v>
      </c>
      <c r="J60" s="15">
        <v>29500</v>
      </c>
      <c r="K60" s="15">
        <v>5960</v>
      </c>
      <c r="L60" s="15">
        <f t="shared" si="1"/>
        <v>175820000</v>
      </c>
      <c r="M60" s="15"/>
      <c r="N60" s="15">
        <f t="shared" si="2"/>
        <v>0</v>
      </c>
      <c r="O60" s="15" t="str">
        <f>IF(AND(A60='BANG KE NL'!$M$11,TH!C60="NL",LEFT(D60,1)="N"),"x","")</f>
        <v/>
      </c>
    </row>
    <row r="61" spans="1:15" hidden="1">
      <c r="A61" s="24">
        <f t="shared" si="3"/>
        <v>2</v>
      </c>
      <c r="B61" s="176" t="str">
        <f>IF(AND(MONTH(E61)='IN-NX'!$J$5,'IN-NX'!$D$7=(D61&amp;"/"&amp;C61)),"x","")</f>
        <v/>
      </c>
      <c r="C61" s="173" t="s">
        <v>226</v>
      </c>
      <c r="D61" s="173" t="s">
        <v>217</v>
      </c>
      <c r="E61" s="70">
        <v>42036</v>
      </c>
      <c r="F61" s="62" t="s">
        <v>42</v>
      </c>
      <c r="G61" s="62" t="s">
        <v>172</v>
      </c>
      <c r="H61" s="177" t="s">
        <v>231</v>
      </c>
      <c r="I61" s="57" t="s">
        <v>124</v>
      </c>
      <c r="J61" s="15">
        <v>29500</v>
      </c>
      <c r="K61" s="15">
        <v>5879</v>
      </c>
      <c r="L61" s="15">
        <f t="shared" si="1"/>
        <v>173430500</v>
      </c>
      <c r="M61" s="15"/>
      <c r="N61" s="15">
        <f t="shared" si="2"/>
        <v>0</v>
      </c>
      <c r="O61" s="15" t="str">
        <f>IF(AND(A61='BANG KE NL'!$M$11,TH!C61="NL",LEFT(D61,1)="N"),"x","")</f>
        <v/>
      </c>
    </row>
    <row r="62" spans="1:15" hidden="1">
      <c r="A62" s="24">
        <f t="shared" si="3"/>
        <v>2</v>
      </c>
      <c r="B62" s="176" t="str">
        <f>IF(AND(MONTH(E62)='IN-NX'!$J$5,'IN-NX'!$D$7=(D62&amp;"/"&amp;C62)),"x","")</f>
        <v/>
      </c>
      <c r="C62" s="173" t="s">
        <v>226</v>
      </c>
      <c r="D62" s="173" t="s">
        <v>234</v>
      </c>
      <c r="E62" s="70">
        <v>42039</v>
      </c>
      <c r="F62" s="62" t="s">
        <v>42</v>
      </c>
      <c r="G62" s="19" t="s">
        <v>184</v>
      </c>
      <c r="H62" s="200" t="s">
        <v>231</v>
      </c>
      <c r="I62" s="57" t="s">
        <v>124</v>
      </c>
      <c r="J62" s="15">
        <v>29500</v>
      </c>
      <c r="K62" s="15">
        <v>5938</v>
      </c>
      <c r="L62" s="15">
        <f t="shared" si="1"/>
        <v>175171000</v>
      </c>
      <c r="M62" s="15"/>
      <c r="N62" s="15">
        <f t="shared" si="2"/>
        <v>0</v>
      </c>
      <c r="O62" s="15" t="str">
        <f>IF(AND(A62='BANG KE NL'!$M$11,TH!C62="NL",LEFT(D62,1)="N"),"x","")</f>
        <v/>
      </c>
    </row>
    <row r="63" spans="1:15" hidden="1">
      <c r="A63" s="24">
        <f t="shared" si="3"/>
        <v>2</v>
      </c>
      <c r="B63" s="176" t="str">
        <f>IF(AND(MONTH(E63)='IN-NX'!$J$5,'IN-NX'!$D$7=(D63&amp;"/"&amp;C63)),"x","")</f>
        <v/>
      </c>
      <c r="C63" s="173" t="s">
        <v>226</v>
      </c>
      <c r="D63" s="173" t="s">
        <v>235</v>
      </c>
      <c r="E63" s="70">
        <v>42039</v>
      </c>
      <c r="F63" s="62" t="s">
        <v>42</v>
      </c>
      <c r="G63" s="19" t="s">
        <v>185</v>
      </c>
      <c r="H63" s="200" t="s">
        <v>231</v>
      </c>
      <c r="I63" s="57" t="s">
        <v>124</v>
      </c>
      <c r="J63" s="15">
        <v>29500</v>
      </c>
      <c r="K63" s="15">
        <v>5984</v>
      </c>
      <c r="L63" s="15">
        <f t="shared" si="1"/>
        <v>176528000</v>
      </c>
      <c r="M63" s="15"/>
      <c r="N63" s="15">
        <f t="shared" si="2"/>
        <v>0</v>
      </c>
      <c r="O63" s="15" t="str">
        <f>IF(AND(A63='BANG KE NL'!$M$11,TH!C63="NL",LEFT(D63,1)="N"),"x","")</f>
        <v/>
      </c>
    </row>
    <row r="64" spans="1:15" hidden="1">
      <c r="A64" s="24">
        <f t="shared" si="3"/>
        <v>2</v>
      </c>
      <c r="B64" s="176" t="str">
        <f>IF(AND(MONTH(E64)='IN-NX'!$J$5,'IN-NX'!$D$7=(D64&amp;"/"&amp;C64)),"x","")</f>
        <v/>
      </c>
      <c r="C64" s="173" t="s">
        <v>226</v>
      </c>
      <c r="D64" s="173" t="s">
        <v>236</v>
      </c>
      <c r="E64" s="70">
        <v>42039</v>
      </c>
      <c r="F64" s="62" t="s">
        <v>42</v>
      </c>
      <c r="G64" s="19" t="s">
        <v>186</v>
      </c>
      <c r="H64" s="200" t="s">
        <v>231</v>
      </c>
      <c r="I64" s="57" t="s">
        <v>124</v>
      </c>
      <c r="J64" s="15">
        <v>29500</v>
      </c>
      <c r="K64" s="15">
        <v>5983</v>
      </c>
      <c r="L64" s="15">
        <f t="shared" si="1"/>
        <v>176498500</v>
      </c>
      <c r="M64" s="15"/>
      <c r="N64" s="15">
        <f t="shared" si="2"/>
        <v>0</v>
      </c>
      <c r="O64" s="15" t="str">
        <f>IF(AND(A64='BANG KE NL'!$M$11,TH!C64="NL",LEFT(D64,1)="N"),"x","")</f>
        <v/>
      </c>
    </row>
    <row r="65" spans="1:15" hidden="1">
      <c r="A65" s="24">
        <f t="shared" si="3"/>
        <v>2</v>
      </c>
      <c r="B65" s="176" t="str">
        <f>IF(AND(MONTH(E65)='IN-NX'!$J$5,'IN-NX'!$D$7=(D65&amp;"/"&amp;C65)),"x","")</f>
        <v/>
      </c>
      <c r="C65" s="173" t="s">
        <v>226</v>
      </c>
      <c r="D65" s="173" t="s">
        <v>237</v>
      </c>
      <c r="E65" s="70">
        <v>42039</v>
      </c>
      <c r="F65" s="62" t="s">
        <v>42</v>
      </c>
      <c r="G65" s="19" t="s">
        <v>187</v>
      </c>
      <c r="H65" s="200" t="s">
        <v>231</v>
      </c>
      <c r="I65" s="57" t="s">
        <v>124</v>
      </c>
      <c r="J65" s="15">
        <v>29500</v>
      </c>
      <c r="K65" s="15">
        <v>5698</v>
      </c>
      <c r="L65" s="15">
        <f t="shared" si="1"/>
        <v>168091000</v>
      </c>
      <c r="M65" s="15"/>
      <c r="N65" s="15">
        <f t="shared" si="2"/>
        <v>0</v>
      </c>
      <c r="O65" s="15" t="str">
        <f>IF(AND(A65='BANG KE NL'!$M$11,TH!C65="NL",LEFT(D65,1)="N"),"x","")</f>
        <v/>
      </c>
    </row>
    <row r="66" spans="1:15" hidden="1">
      <c r="A66" s="24">
        <f t="shared" si="3"/>
        <v>2</v>
      </c>
      <c r="B66" s="176" t="str">
        <f>IF(AND(MONTH(E66)='IN-NX'!$J$5,'IN-NX'!$D$7=(D66&amp;"/"&amp;C66)),"x","")</f>
        <v/>
      </c>
      <c r="C66" s="173" t="s">
        <v>226</v>
      </c>
      <c r="D66" s="173" t="s">
        <v>241</v>
      </c>
      <c r="E66" s="70">
        <v>42042</v>
      </c>
      <c r="F66" s="62" t="s">
        <v>42</v>
      </c>
      <c r="G66" s="19" t="s">
        <v>197</v>
      </c>
      <c r="H66" s="200" t="s">
        <v>231</v>
      </c>
      <c r="I66" s="57" t="s">
        <v>124</v>
      </c>
      <c r="J66" s="15">
        <v>29500</v>
      </c>
      <c r="K66" s="15">
        <v>5090</v>
      </c>
      <c r="L66" s="15">
        <f t="shared" si="1"/>
        <v>150155000</v>
      </c>
      <c r="M66" s="15"/>
      <c r="N66" s="15">
        <f t="shared" si="2"/>
        <v>0</v>
      </c>
      <c r="O66" s="15" t="str">
        <f>IF(AND(A66='BANG KE NL'!$M$11,TH!C66="NL",LEFT(D66,1)="N"),"x","")</f>
        <v/>
      </c>
    </row>
    <row r="67" spans="1:15" hidden="1">
      <c r="A67" s="24">
        <f t="shared" si="3"/>
        <v>2</v>
      </c>
      <c r="B67" s="176" t="str">
        <f>IF(AND(MONTH(E67)='IN-NX'!$J$5,'IN-NX'!$D$7=(D67&amp;"/"&amp;C67)),"x","")</f>
        <v/>
      </c>
      <c r="C67" s="173" t="s">
        <v>226</v>
      </c>
      <c r="D67" s="173" t="s">
        <v>242</v>
      </c>
      <c r="E67" s="70">
        <v>42042</v>
      </c>
      <c r="F67" s="62" t="s">
        <v>42</v>
      </c>
      <c r="G67" s="19" t="s">
        <v>191</v>
      </c>
      <c r="H67" s="200" t="s">
        <v>231</v>
      </c>
      <c r="I67" s="57" t="s">
        <v>124</v>
      </c>
      <c r="J67" s="15">
        <v>29500</v>
      </c>
      <c r="K67" s="15">
        <v>5372</v>
      </c>
      <c r="L67" s="15">
        <f t="shared" si="1"/>
        <v>158474000</v>
      </c>
      <c r="M67" s="15"/>
      <c r="N67" s="15">
        <f t="shared" si="2"/>
        <v>0</v>
      </c>
      <c r="O67" s="15" t="str">
        <f>IF(AND(A67='BANG KE NL'!$M$11,TH!C67="NL",LEFT(D67,1)="N"),"x","")</f>
        <v/>
      </c>
    </row>
    <row r="68" spans="1:15" hidden="1">
      <c r="A68" s="24">
        <f t="shared" si="3"/>
        <v>2</v>
      </c>
      <c r="B68" s="176" t="str">
        <f>IF(AND(MONTH(E68)='IN-NX'!$J$5,'IN-NX'!$D$7=(D68&amp;"/"&amp;C68)),"x","")</f>
        <v/>
      </c>
      <c r="C68" s="173" t="s">
        <v>226</v>
      </c>
      <c r="D68" s="173" t="s">
        <v>243</v>
      </c>
      <c r="E68" s="70">
        <v>42042</v>
      </c>
      <c r="F68" s="62" t="s">
        <v>42</v>
      </c>
      <c r="G68" s="19" t="s">
        <v>192</v>
      </c>
      <c r="H68" s="200" t="s">
        <v>231</v>
      </c>
      <c r="I68" s="57" t="s">
        <v>124</v>
      </c>
      <c r="J68" s="15">
        <v>29500</v>
      </c>
      <c r="K68" s="15">
        <v>5943</v>
      </c>
      <c r="L68" s="15">
        <f t="shared" si="1"/>
        <v>175318500</v>
      </c>
      <c r="M68" s="15"/>
      <c r="N68" s="15">
        <f t="shared" si="2"/>
        <v>0</v>
      </c>
      <c r="O68" s="15" t="str">
        <f>IF(AND(A68='BANG KE NL'!$M$11,TH!C68="NL",LEFT(D68,1)="N"),"x","")</f>
        <v/>
      </c>
    </row>
    <row r="69" spans="1:15" hidden="1">
      <c r="A69" s="24">
        <f t="shared" si="3"/>
        <v>2</v>
      </c>
      <c r="B69" s="176" t="str">
        <f>IF(AND(MONTH(E69)='IN-NX'!$J$5,'IN-NX'!$D$7=(D69&amp;"/"&amp;C69)),"x","")</f>
        <v/>
      </c>
      <c r="C69" s="173" t="s">
        <v>226</v>
      </c>
      <c r="D69" s="173" t="s">
        <v>244</v>
      </c>
      <c r="E69" s="70">
        <v>42042</v>
      </c>
      <c r="F69" s="62" t="s">
        <v>42</v>
      </c>
      <c r="G69" s="19" t="s">
        <v>193</v>
      </c>
      <c r="H69" s="200" t="s">
        <v>231</v>
      </c>
      <c r="I69" s="57" t="s">
        <v>124</v>
      </c>
      <c r="J69" s="15">
        <v>29500</v>
      </c>
      <c r="K69" s="15">
        <v>5981</v>
      </c>
      <c r="L69" s="15">
        <f t="shared" ref="L69:L124" si="4">ROUND(J69*K69,0)</f>
        <v>176439500</v>
      </c>
      <c r="M69" s="15"/>
      <c r="N69" s="15">
        <f t="shared" ref="N69:N124" si="5">ROUND(J69*M69,0)</f>
        <v>0</v>
      </c>
      <c r="O69" s="15" t="str">
        <f>IF(AND(A69='BANG KE NL'!$M$11,TH!C69="NL",LEFT(D69,1)="N"),"x","")</f>
        <v/>
      </c>
    </row>
    <row r="70" spans="1:15" hidden="1">
      <c r="A70" s="24">
        <f t="shared" ref="A70:A133" si="6">IF(E70&lt;&gt;"",MONTH(E70),"")</f>
        <v>2</v>
      </c>
      <c r="B70" s="176" t="str">
        <f>IF(AND(MONTH(E70)='IN-NX'!$J$5,'IN-NX'!$D$7=(D70&amp;"/"&amp;C70)),"x","")</f>
        <v/>
      </c>
      <c r="C70" s="173" t="s">
        <v>226</v>
      </c>
      <c r="D70" s="173" t="s">
        <v>245</v>
      </c>
      <c r="E70" s="70">
        <v>42046</v>
      </c>
      <c r="F70" s="62" t="s">
        <v>42</v>
      </c>
      <c r="G70" s="19" t="s">
        <v>171</v>
      </c>
      <c r="H70" s="200" t="s">
        <v>231</v>
      </c>
      <c r="I70" s="57" t="s">
        <v>124</v>
      </c>
      <c r="J70" s="15">
        <v>29500</v>
      </c>
      <c r="K70" s="15">
        <v>5760</v>
      </c>
      <c r="L70" s="15">
        <f t="shared" si="4"/>
        <v>169920000</v>
      </c>
      <c r="M70" s="15"/>
      <c r="N70" s="15">
        <f t="shared" si="5"/>
        <v>0</v>
      </c>
      <c r="O70" s="15" t="str">
        <f>IF(AND(A70='BANG KE NL'!$M$11,TH!C70="NL",LEFT(D70,1)="N"),"x","")</f>
        <v/>
      </c>
    </row>
    <row r="71" spans="1:15" hidden="1">
      <c r="A71" s="24">
        <f t="shared" si="6"/>
        <v>2</v>
      </c>
      <c r="B71" s="176" t="str">
        <f>IF(AND(MONTH(E71)='IN-NX'!$J$5,'IN-NX'!$D$7=(D71&amp;"/"&amp;C71)),"x","")</f>
        <v/>
      </c>
      <c r="C71" s="173" t="s">
        <v>226</v>
      </c>
      <c r="D71" s="173" t="s">
        <v>246</v>
      </c>
      <c r="E71" s="70">
        <v>42046</v>
      </c>
      <c r="F71" s="62" t="s">
        <v>42</v>
      </c>
      <c r="G71" s="19" t="s">
        <v>172</v>
      </c>
      <c r="H71" s="200" t="s">
        <v>231</v>
      </c>
      <c r="I71" s="57" t="s">
        <v>124</v>
      </c>
      <c r="J71" s="15">
        <v>29500</v>
      </c>
      <c r="K71" s="15">
        <v>5965</v>
      </c>
      <c r="L71" s="15">
        <f t="shared" si="4"/>
        <v>175967500</v>
      </c>
      <c r="M71" s="15"/>
      <c r="N71" s="15">
        <f t="shared" si="5"/>
        <v>0</v>
      </c>
      <c r="O71" s="15" t="str">
        <f>IF(AND(A71='BANG KE NL'!$M$11,TH!C71="NL",LEFT(D71,1)="N"),"x","")</f>
        <v/>
      </c>
    </row>
    <row r="72" spans="1:15" hidden="1">
      <c r="A72" s="24">
        <f t="shared" si="6"/>
        <v>2</v>
      </c>
      <c r="B72" s="176" t="str">
        <f>IF(AND(MONTH(E72)='IN-NX'!$J$5,'IN-NX'!$D$7=(D72&amp;"/"&amp;C72)),"x","")</f>
        <v/>
      </c>
      <c r="C72" s="173" t="s">
        <v>226</v>
      </c>
      <c r="D72" s="173" t="s">
        <v>247</v>
      </c>
      <c r="E72" s="70">
        <v>42046</v>
      </c>
      <c r="F72" s="62" t="s">
        <v>42</v>
      </c>
      <c r="G72" s="19" t="s">
        <v>167</v>
      </c>
      <c r="H72" s="200" t="s">
        <v>231</v>
      </c>
      <c r="I72" s="57" t="s">
        <v>124</v>
      </c>
      <c r="J72" s="15">
        <v>29500</v>
      </c>
      <c r="K72" s="15">
        <v>5083</v>
      </c>
      <c r="L72" s="15">
        <f t="shared" si="4"/>
        <v>149948500</v>
      </c>
      <c r="M72" s="15"/>
      <c r="N72" s="15">
        <f t="shared" si="5"/>
        <v>0</v>
      </c>
      <c r="O72" s="15" t="str">
        <f>IF(AND(A72='BANG KE NL'!$M$11,TH!C72="NL",LEFT(D72,1)="N"),"x","")</f>
        <v/>
      </c>
    </row>
    <row r="73" spans="1:15" hidden="1">
      <c r="A73" s="24">
        <f t="shared" si="6"/>
        <v>2</v>
      </c>
      <c r="B73" s="176" t="str">
        <f>IF(AND(MONTH(E73)='IN-NX'!$J$5,'IN-NX'!$D$7=(D73&amp;"/"&amp;C73)),"x","")</f>
        <v/>
      </c>
      <c r="C73" s="173" t="s">
        <v>226</v>
      </c>
      <c r="D73" s="173" t="s">
        <v>248</v>
      </c>
      <c r="E73" s="70">
        <v>42046</v>
      </c>
      <c r="F73" s="62" t="s">
        <v>42</v>
      </c>
      <c r="G73" s="19" t="s">
        <v>173</v>
      </c>
      <c r="H73" s="200" t="s">
        <v>231</v>
      </c>
      <c r="I73" s="57" t="s">
        <v>124</v>
      </c>
      <c r="J73" s="15">
        <v>29500</v>
      </c>
      <c r="K73" s="15">
        <v>5867</v>
      </c>
      <c r="L73" s="15">
        <f t="shared" si="4"/>
        <v>173076500</v>
      </c>
      <c r="M73" s="15"/>
      <c r="N73" s="15">
        <f t="shared" si="5"/>
        <v>0</v>
      </c>
      <c r="O73" s="15" t="str">
        <f>IF(AND(A73='BANG KE NL'!$M$11,TH!C73="NL",LEFT(D73,1)="N"),"x","")</f>
        <v/>
      </c>
    </row>
    <row r="74" spans="1:15" hidden="1">
      <c r="A74" s="24">
        <f t="shared" si="6"/>
        <v>2</v>
      </c>
      <c r="B74" s="176" t="str">
        <f>IF(AND(MONTH(E74)='IN-NX'!$J$5,'IN-NX'!$D$7=(D74&amp;"/"&amp;C74)),"x","")</f>
        <v/>
      </c>
      <c r="C74" s="173" t="s">
        <v>226</v>
      </c>
      <c r="D74" s="173" t="s">
        <v>251</v>
      </c>
      <c r="E74" s="70">
        <v>42049</v>
      </c>
      <c r="F74" s="62" t="s">
        <v>42</v>
      </c>
      <c r="G74" s="19" t="s">
        <v>192</v>
      </c>
      <c r="H74" s="200" t="s">
        <v>231</v>
      </c>
      <c r="I74" s="57" t="s">
        <v>124</v>
      </c>
      <c r="J74" s="15">
        <v>29500</v>
      </c>
      <c r="K74" s="15">
        <v>5073</v>
      </c>
      <c r="L74" s="15">
        <f t="shared" si="4"/>
        <v>149653500</v>
      </c>
      <c r="M74" s="15"/>
      <c r="N74" s="15">
        <f t="shared" si="5"/>
        <v>0</v>
      </c>
      <c r="O74" s="15" t="str">
        <f>IF(AND(A74='BANG KE NL'!$M$11,TH!C74="NL",LEFT(D74,1)="N"),"x","")</f>
        <v/>
      </c>
    </row>
    <row r="75" spans="1:15" hidden="1">
      <c r="A75" s="24">
        <f t="shared" si="6"/>
        <v>2</v>
      </c>
      <c r="B75" s="176" t="str">
        <f>IF(AND(MONTH(E75)='IN-NX'!$J$5,'IN-NX'!$D$7=(D75&amp;"/"&amp;C75)),"x","")</f>
        <v/>
      </c>
      <c r="C75" s="173" t="s">
        <v>226</v>
      </c>
      <c r="D75" s="173" t="s">
        <v>252</v>
      </c>
      <c r="E75" s="70">
        <v>42049</v>
      </c>
      <c r="F75" s="62" t="s">
        <v>42</v>
      </c>
      <c r="G75" s="19" t="s">
        <v>193</v>
      </c>
      <c r="H75" s="200" t="s">
        <v>231</v>
      </c>
      <c r="I75" s="57" t="s">
        <v>124</v>
      </c>
      <c r="J75" s="15">
        <v>29500</v>
      </c>
      <c r="K75" s="15">
        <v>5985</v>
      </c>
      <c r="L75" s="15">
        <f t="shared" si="4"/>
        <v>176557500</v>
      </c>
      <c r="M75" s="15"/>
      <c r="N75" s="15">
        <f t="shared" si="5"/>
        <v>0</v>
      </c>
      <c r="O75" s="15" t="str">
        <f>IF(AND(A75='BANG KE NL'!$M$11,TH!C75="NL",LEFT(D75,1)="N"),"x","")</f>
        <v/>
      </c>
    </row>
    <row r="76" spans="1:15" hidden="1">
      <c r="A76" s="24">
        <f t="shared" si="6"/>
        <v>2</v>
      </c>
      <c r="B76" s="176" t="str">
        <f>IF(AND(MONTH(E76)='IN-NX'!$J$5,'IN-NX'!$D$7=(D76&amp;"/"&amp;C76)),"x","")</f>
        <v/>
      </c>
      <c r="C76" s="173" t="s">
        <v>226</v>
      </c>
      <c r="D76" s="173" t="s">
        <v>253</v>
      </c>
      <c r="E76" s="70">
        <v>42049</v>
      </c>
      <c r="F76" s="62" t="s">
        <v>42</v>
      </c>
      <c r="G76" s="19" t="s">
        <v>194</v>
      </c>
      <c r="H76" s="200" t="s">
        <v>231</v>
      </c>
      <c r="I76" s="57" t="s">
        <v>124</v>
      </c>
      <c r="J76" s="15">
        <v>29500</v>
      </c>
      <c r="K76" s="15">
        <v>5830</v>
      </c>
      <c r="L76" s="15">
        <f t="shared" si="4"/>
        <v>171985000</v>
      </c>
      <c r="M76" s="15"/>
      <c r="N76" s="15">
        <f t="shared" si="5"/>
        <v>0</v>
      </c>
      <c r="O76" s="15" t="str">
        <f>IF(AND(A76='BANG KE NL'!$M$11,TH!C76="NL",LEFT(D76,1)="N"),"x","")</f>
        <v/>
      </c>
    </row>
    <row r="77" spans="1:15" hidden="1">
      <c r="A77" s="24">
        <f t="shared" si="6"/>
        <v>2</v>
      </c>
      <c r="B77" s="176" t="str">
        <f>IF(AND(MONTH(E77)='IN-NX'!$J$5,'IN-NX'!$D$7=(D77&amp;"/"&amp;C77)),"x","")</f>
        <v/>
      </c>
      <c r="C77" s="173" t="s">
        <v>226</v>
      </c>
      <c r="D77" s="173" t="s">
        <v>254</v>
      </c>
      <c r="E77" s="70">
        <v>42049</v>
      </c>
      <c r="F77" s="62" t="s">
        <v>42</v>
      </c>
      <c r="G77" s="19" t="s">
        <v>195</v>
      </c>
      <c r="H77" s="200" t="s">
        <v>231</v>
      </c>
      <c r="I77" s="57" t="s">
        <v>124</v>
      </c>
      <c r="J77" s="15">
        <v>29500</v>
      </c>
      <c r="K77" s="15">
        <v>5436</v>
      </c>
      <c r="L77" s="15">
        <f t="shared" si="4"/>
        <v>160362000</v>
      </c>
      <c r="M77" s="15"/>
      <c r="N77" s="15">
        <f t="shared" si="5"/>
        <v>0</v>
      </c>
      <c r="O77" s="15" t="str">
        <f>IF(AND(A77='BANG KE NL'!$M$11,TH!C77="NL",LEFT(D77,1)="N"),"x","")</f>
        <v/>
      </c>
    </row>
    <row r="78" spans="1:15" hidden="1">
      <c r="A78" s="24">
        <f t="shared" si="6"/>
        <v>2</v>
      </c>
      <c r="B78" s="176" t="str">
        <f>IF(AND(MONTH(E78)='IN-NX'!$J$5,'IN-NX'!$D$7=(D78&amp;"/"&amp;C78)),"x","")</f>
        <v/>
      </c>
      <c r="C78" s="173" t="s">
        <v>226</v>
      </c>
      <c r="D78" s="173" t="s">
        <v>220</v>
      </c>
      <c r="E78" s="70">
        <v>42036</v>
      </c>
      <c r="F78" s="62" t="s">
        <v>42</v>
      </c>
      <c r="G78" s="19" t="s">
        <v>229</v>
      </c>
      <c r="H78" s="200" t="s">
        <v>97</v>
      </c>
      <c r="I78" s="57" t="s">
        <v>231</v>
      </c>
      <c r="J78" s="15">
        <v>29500</v>
      </c>
      <c r="K78" s="15"/>
      <c r="L78" s="15">
        <f t="shared" si="4"/>
        <v>0</v>
      </c>
      <c r="M78" s="15">
        <v>23792</v>
      </c>
      <c r="N78" s="15">
        <f t="shared" si="5"/>
        <v>701864000</v>
      </c>
      <c r="O78" s="15" t="str">
        <f>IF(AND(A78='BANG KE NL'!$M$11,TH!C78="NL",LEFT(D78,1)="N"),"x","")</f>
        <v/>
      </c>
    </row>
    <row r="79" spans="1:15" hidden="1">
      <c r="A79" s="24">
        <f t="shared" si="6"/>
        <v>2</v>
      </c>
      <c r="B79" s="176" t="str">
        <f>IF(AND(MONTH(E79)='IN-NX'!$J$5,'IN-NX'!$D$7=(D79&amp;"/"&amp;C79)),"x","")</f>
        <v/>
      </c>
      <c r="C79" s="173" t="s">
        <v>226</v>
      </c>
      <c r="D79" s="173" t="s">
        <v>221</v>
      </c>
      <c r="E79" s="70">
        <v>42039</v>
      </c>
      <c r="F79" s="62" t="s">
        <v>42</v>
      </c>
      <c r="G79" s="19" t="s">
        <v>229</v>
      </c>
      <c r="H79" s="200" t="s">
        <v>97</v>
      </c>
      <c r="I79" s="57" t="s">
        <v>231</v>
      </c>
      <c r="J79" s="15">
        <v>29500</v>
      </c>
      <c r="K79" s="15"/>
      <c r="L79" s="15">
        <f t="shared" si="4"/>
        <v>0</v>
      </c>
      <c r="M79" s="15">
        <v>23603</v>
      </c>
      <c r="N79" s="15">
        <f t="shared" si="5"/>
        <v>696288500</v>
      </c>
      <c r="O79" s="15" t="str">
        <f>IF(AND(A79='BANG KE NL'!$M$11,TH!C79="NL",LEFT(D79,1)="N"),"x","")</f>
        <v/>
      </c>
    </row>
    <row r="80" spans="1:15" hidden="1">
      <c r="A80" s="24">
        <f t="shared" si="6"/>
        <v>2</v>
      </c>
      <c r="B80" s="176" t="str">
        <f>IF(AND(MONTH(E80)='IN-NX'!$J$5,'IN-NX'!$D$7=(D80&amp;"/"&amp;C80)),"x","")</f>
        <v/>
      </c>
      <c r="C80" s="173" t="s">
        <v>226</v>
      </c>
      <c r="D80" s="173" t="s">
        <v>223</v>
      </c>
      <c r="E80" s="70">
        <v>42042</v>
      </c>
      <c r="F80" s="62" t="s">
        <v>42</v>
      </c>
      <c r="G80" s="19" t="s">
        <v>229</v>
      </c>
      <c r="H80" s="200" t="s">
        <v>97</v>
      </c>
      <c r="I80" s="57" t="s">
        <v>231</v>
      </c>
      <c r="J80" s="15">
        <v>29500</v>
      </c>
      <c r="K80" s="15"/>
      <c r="L80" s="15">
        <f t="shared" si="4"/>
        <v>0</v>
      </c>
      <c r="M80" s="15">
        <v>22386</v>
      </c>
      <c r="N80" s="15">
        <f t="shared" si="5"/>
        <v>660387000</v>
      </c>
      <c r="O80" s="15" t="str">
        <f>IF(AND(A80='BANG KE NL'!$M$11,TH!C80="NL",LEFT(D80,1)="N"),"x","")</f>
        <v/>
      </c>
    </row>
    <row r="81" spans="1:15" hidden="1">
      <c r="A81" s="24">
        <f t="shared" si="6"/>
        <v>2</v>
      </c>
      <c r="B81" s="176" t="str">
        <f>IF(AND(MONTH(E81)='IN-NX'!$J$5,'IN-NX'!$D$7=(D81&amp;"/"&amp;C81)),"x","")</f>
        <v/>
      </c>
      <c r="C81" s="173" t="s">
        <v>226</v>
      </c>
      <c r="D81" s="173" t="s">
        <v>230</v>
      </c>
      <c r="E81" s="70">
        <v>42046</v>
      </c>
      <c r="F81" s="62" t="s">
        <v>42</v>
      </c>
      <c r="G81" s="19" t="s">
        <v>229</v>
      </c>
      <c r="H81" s="200" t="s">
        <v>97</v>
      </c>
      <c r="I81" s="57" t="s">
        <v>231</v>
      </c>
      <c r="J81" s="15">
        <v>29500</v>
      </c>
      <c r="K81" s="15"/>
      <c r="L81" s="15">
        <f t="shared" si="4"/>
        <v>0</v>
      </c>
      <c r="M81" s="15">
        <v>22675</v>
      </c>
      <c r="N81" s="15">
        <f t="shared" si="5"/>
        <v>668912500</v>
      </c>
      <c r="O81" s="15" t="str">
        <f>IF(AND(A81='BANG KE NL'!$M$11,TH!C81="NL",LEFT(D81,1)="N"),"x","")</f>
        <v/>
      </c>
    </row>
    <row r="82" spans="1:15" hidden="1">
      <c r="A82" s="24">
        <f t="shared" si="6"/>
        <v>2</v>
      </c>
      <c r="B82" s="176" t="str">
        <f>IF(AND(MONTH(E82)='IN-NX'!$J$5,'IN-NX'!$D$7=(D82&amp;"/"&amp;C82)),"x","")</f>
        <v/>
      </c>
      <c r="C82" s="173" t="s">
        <v>226</v>
      </c>
      <c r="D82" s="173" t="s">
        <v>269</v>
      </c>
      <c r="E82" s="70">
        <v>42049</v>
      </c>
      <c r="F82" s="62" t="s">
        <v>42</v>
      </c>
      <c r="G82" s="19" t="s">
        <v>229</v>
      </c>
      <c r="H82" s="200" t="s">
        <v>97</v>
      </c>
      <c r="I82" s="57" t="s">
        <v>231</v>
      </c>
      <c r="J82" s="15">
        <v>29500</v>
      </c>
      <c r="K82" s="15"/>
      <c r="L82" s="15">
        <f t="shared" si="4"/>
        <v>0</v>
      </c>
      <c r="M82" s="15">
        <v>22324</v>
      </c>
      <c r="N82" s="15">
        <f t="shared" si="5"/>
        <v>658558000</v>
      </c>
      <c r="O82" s="15" t="str">
        <f>IF(AND(A82='BANG KE NL'!$M$11,TH!C82="NL",LEFT(D82,1)="N"),"x","")</f>
        <v/>
      </c>
    </row>
    <row r="83" spans="1:15" hidden="1">
      <c r="A83" s="24">
        <f t="shared" si="6"/>
        <v>2</v>
      </c>
      <c r="B83" s="176" t="str">
        <f>IF(AND(MONTH(E83)='IN-NX'!$J$5,'IN-NX'!$D$7=(D83&amp;"/"&amp;C83)),"x","")</f>
        <v/>
      </c>
      <c r="C83" s="173" t="s">
        <v>226</v>
      </c>
      <c r="D83" s="173" t="s">
        <v>218</v>
      </c>
      <c r="E83" s="70">
        <v>42036</v>
      </c>
      <c r="F83" s="62" t="s">
        <v>68</v>
      </c>
      <c r="G83" s="19" t="s">
        <v>174</v>
      </c>
      <c r="H83" s="200" t="s">
        <v>231</v>
      </c>
      <c r="I83" s="57" t="s">
        <v>124</v>
      </c>
      <c r="J83" s="15">
        <v>25500</v>
      </c>
      <c r="K83" s="15">
        <v>5860</v>
      </c>
      <c r="L83" s="15">
        <f t="shared" si="4"/>
        <v>149430000</v>
      </c>
      <c r="M83" s="15"/>
      <c r="N83" s="15">
        <f t="shared" si="5"/>
        <v>0</v>
      </c>
      <c r="O83" s="15" t="str">
        <f>IF(AND(A83='BANG KE NL'!$M$11,TH!C83="NL",LEFT(D83,1)="N"),"x","")</f>
        <v/>
      </c>
    </row>
    <row r="84" spans="1:15" hidden="1">
      <c r="A84" s="24">
        <f t="shared" si="6"/>
        <v>2</v>
      </c>
      <c r="B84" s="176" t="str">
        <f>IF(AND(MONTH(E84)='IN-NX'!$J$5,'IN-NX'!$D$7=(D84&amp;"/"&amp;C84)),"x","")</f>
        <v/>
      </c>
      <c r="C84" s="173" t="s">
        <v>226</v>
      </c>
      <c r="D84" s="173" t="s">
        <v>219</v>
      </c>
      <c r="E84" s="70">
        <v>42036</v>
      </c>
      <c r="F84" s="62" t="s">
        <v>68</v>
      </c>
      <c r="G84" s="19" t="s">
        <v>175</v>
      </c>
      <c r="H84" s="200" t="s">
        <v>231</v>
      </c>
      <c r="I84" s="57" t="s">
        <v>124</v>
      </c>
      <c r="J84" s="15">
        <v>25500</v>
      </c>
      <c r="K84" s="15">
        <v>5930</v>
      </c>
      <c r="L84" s="15">
        <f t="shared" si="4"/>
        <v>151215000</v>
      </c>
      <c r="M84" s="15"/>
      <c r="N84" s="15">
        <f t="shared" si="5"/>
        <v>0</v>
      </c>
      <c r="O84" s="15" t="str">
        <f>IF(AND(A84='BANG KE NL'!$M$11,TH!C84="NL",LEFT(D84,1)="N"),"x","")</f>
        <v/>
      </c>
    </row>
    <row r="85" spans="1:15" hidden="1">
      <c r="A85" s="24">
        <f t="shared" si="6"/>
        <v>2</v>
      </c>
      <c r="B85" s="176" t="str">
        <f>IF(AND(MONTH(E85)='IN-NX'!$J$5,'IN-NX'!$D$7=(D85&amp;"/"&amp;C85)),"x","")</f>
        <v/>
      </c>
      <c r="C85" s="173" t="s">
        <v>226</v>
      </c>
      <c r="D85" s="173" t="s">
        <v>238</v>
      </c>
      <c r="E85" s="70">
        <v>42040</v>
      </c>
      <c r="F85" s="62" t="s">
        <v>68</v>
      </c>
      <c r="G85" s="19" t="s">
        <v>179</v>
      </c>
      <c r="H85" s="200" t="s">
        <v>231</v>
      </c>
      <c r="I85" s="57" t="s">
        <v>124</v>
      </c>
      <c r="J85" s="15">
        <v>25500</v>
      </c>
      <c r="K85" s="15">
        <v>5983</v>
      </c>
      <c r="L85" s="15">
        <f t="shared" si="4"/>
        <v>152566500</v>
      </c>
      <c r="M85" s="15"/>
      <c r="N85" s="15">
        <f t="shared" si="5"/>
        <v>0</v>
      </c>
      <c r="O85" s="15" t="str">
        <f>IF(AND(A85='BANG KE NL'!$M$11,TH!C85="NL",LEFT(D85,1)="N"),"x","")</f>
        <v/>
      </c>
    </row>
    <row r="86" spans="1:15" hidden="1">
      <c r="A86" s="24">
        <f t="shared" si="6"/>
        <v>2</v>
      </c>
      <c r="B86" s="176" t="str">
        <f>IF(AND(MONTH(E86)='IN-NX'!$J$5,'IN-NX'!$D$7=(D86&amp;"/"&amp;C86)),"x","")</f>
        <v/>
      </c>
      <c r="C86" s="173" t="s">
        <v>226</v>
      </c>
      <c r="D86" s="173" t="s">
        <v>250</v>
      </c>
      <c r="E86" s="70">
        <v>42047</v>
      </c>
      <c r="F86" s="62" t="s">
        <v>68</v>
      </c>
      <c r="G86" s="19" t="s">
        <v>179</v>
      </c>
      <c r="H86" s="200" t="s">
        <v>231</v>
      </c>
      <c r="I86" s="57" t="s">
        <v>124</v>
      </c>
      <c r="J86" s="15">
        <v>25500</v>
      </c>
      <c r="K86" s="15">
        <v>5277</v>
      </c>
      <c r="L86" s="15">
        <f t="shared" si="4"/>
        <v>134563500</v>
      </c>
      <c r="M86" s="15"/>
      <c r="N86" s="15">
        <f t="shared" si="5"/>
        <v>0</v>
      </c>
      <c r="O86" s="15" t="str">
        <f>IF(AND(A86='BANG KE NL'!$M$11,TH!C86="NL",LEFT(D86,1)="N"),"x","")</f>
        <v/>
      </c>
    </row>
    <row r="87" spans="1:15" hidden="1">
      <c r="A87" s="24">
        <f t="shared" si="6"/>
        <v>2</v>
      </c>
      <c r="B87" s="176" t="str">
        <f>IF(AND(MONTH(E87)='IN-NX'!$J$5,'IN-NX'!$D$7=(D87&amp;"/"&amp;C87)),"x","")</f>
        <v/>
      </c>
      <c r="C87" s="173" t="s">
        <v>226</v>
      </c>
      <c r="D87" s="173" t="s">
        <v>240</v>
      </c>
      <c r="E87" s="70">
        <v>42040</v>
      </c>
      <c r="F87" s="62" t="s">
        <v>68</v>
      </c>
      <c r="G87" s="19" t="s">
        <v>181</v>
      </c>
      <c r="H87" s="200" t="s">
        <v>231</v>
      </c>
      <c r="I87" s="57" t="s">
        <v>124</v>
      </c>
      <c r="J87" s="15">
        <v>25500</v>
      </c>
      <c r="K87" s="15">
        <v>5670</v>
      </c>
      <c r="L87" s="15">
        <f t="shared" si="4"/>
        <v>144585000</v>
      </c>
      <c r="M87" s="15"/>
      <c r="N87" s="15">
        <f t="shared" si="5"/>
        <v>0</v>
      </c>
      <c r="O87" s="15" t="str">
        <f>IF(AND(A87='BANG KE NL'!$M$11,TH!C87="NL",LEFT(D87,1)="N"),"x","")</f>
        <v/>
      </c>
    </row>
    <row r="88" spans="1:15" hidden="1">
      <c r="A88" s="24">
        <f t="shared" si="6"/>
        <v>2</v>
      </c>
      <c r="B88" s="176" t="str">
        <f>IF(AND(MONTH(E88)='IN-NX'!$J$5,'IN-NX'!$D$7=(D88&amp;"/"&amp;C88)),"x","")</f>
        <v/>
      </c>
      <c r="C88" s="173" t="s">
        <v>226</v>
      </c>
      <c r="D88" s="173" t="s">
        <v>239</v>
      </c>
      <c r="E88" s="70">
        <v>42040</v>
      </c>
      <c r="F88" s="62" t="s">
        <v>68</v>
      </c>
      <c r="G88" s="19" t="s">
        <v>180</v>
      </c>
      <c r="H88" s="200" t="s">
        <v>231</v>
      </c>
      <c r="I88" s="57" t="s">
        <v>124</v>
      </c>
      <c r="J88" s="15">
        <v>25500</v>
      </c>
      <c r="K88" s="15">
        <v>5486</v>
      </c>
      <c r="L88" s="15">
        <f t="shared" si="4"/>
        <v>139893000</v>
      </c>
      <c r="M88" s="15"/>
      <c r="N88" s="15">
        <f t="shared" si="5"/>
        <v>0</v>
      </c>
      <c r="O88" s="15" t="str">
        <f>IF(AND(A88='BANG KE NL'!$M$11,TH!C88="NL",LEFT(D88,1)="N"),"x","")</f>
        <v/>
      </c>
    </row>
    <row r="89" spans="1:15" hidden="1">
      <c r="A89" s="24">
        <f t="shared" si="6"/>
        <v>2</v>
      </c>
      <c r="B89" s="176" t="str">
        <f>IF(AND(MONTH(E89)='IN-NX'!$J$5,'IN-NX'!$D$7=(D89&amp;"/"&amp;C89)),"x","")</f>
        <v/>
      </c>
      <c r="C89" s="173" t="s">
        <v>226</v>
      </c>
      <c r="D89" s="173" t="s">
        <v>232</v>
      </c>
      <c r="E89" s="70">
        <v>42036</v>
      </c>
      <c r="F89" s="62" t="s">
        <v>68</v>
      </c>
      <c r="G89" s="19" t="s">
        <v>176</v>
      </c>
      <c r="H89" s="200" t="s">
        <v>231</v>
      </c>
      <c r="I89" s="57" t="s">
        <v>124</v>
      </c>
      <c r="J89" s="15">
        <v>25500</v>
      </c>
      <c r="K89" s="15">
        <v>5976</v>
      </c>
      <c r="L89" s="15">
        <f t="shared" si="4"/>
        <v>152388000</v>
      </c>
      <c r="M89" s="15"/>
      <c r="N89" s="15">
        <f t="shared" si="5"/>
        <v>0</v>
      </c>
      <c r="O89" s="15" t="str">
        <f>IF(AND(A89='BANG KE NL'!$M$11,TH!C89="NL",LEFT(D89,1)="N"),"x","")</f>
        <v/>
      </c>
    </row>
    <row r="90" spans="1:15" hidden="1">
      <c r="A90" s="24">
        <f t="shared" si="6"/>
        <v>2</v>
      </c>
      <c r="B90" s="176" t="str">
        <f>IF(AND(MONTH(E90)='IN-NX'!$J$5,'IN-NX'!$D$7=(D90&amp;"/"&amp;C90)),"x","")</f>
        <v/>
      </c>
      <c r="C90" s="173" t="s">
        <v>226</v>
      </c>
      <c r="D90" s="173" t="s">
        <v>249</v>
      </c>
      <c r="E90" s="70">
        <v>42047</v>
      </c>
      <c r="F90" s="62" t="s">
        <v>68</v>
      </c>
      <c r="G90" s="19" t="s">
        <v>176</v>
      </c>
      <c r="H90" s="200" t="s">
        <v>231</v>
      </c>
      <c r="I90" s="57" t="s">
        <v>124</v>
      </c>
      <c r="J90" s="15">
        <v>25500</v>
      </c>
      <c r="K90" s="15">
        <v>5043</v>
      </c>
      <c r="L90" s="15">
        <f t="shared" si="4"/>
        <v>128596500</v>
      </c>
      <c r="M90" s="15"/>
      <c r="N90" s="15">
        <f t="shared" si="5"/>
        <v>0</v>
      </c>
      <c r="O90" s="15" t="str">
        <f>IF(AND(A90='BANG KE NL'!$M$11,TH!C90="NL",LEFT(D90,1)="N"),"x","")</f>
        <v/>
      </c>
    </row>
    <row r="91" spans="1:15" hidden="1">
      <c r="A91" s="24">
        <f t="shared" si="6"/>
        <v>2</v>
      </c>
      <c r="B91" s="176" t="str">
        <f>IF(AND(MONTH(E91)='IN-NX'!$J$5,'IN-NX'!$D$7=(D91&amp;"/"&amp;C91)),"x","")</f>
        <v/>
      </c>
      <c r="C91" s="173" t="s">
        <v>226</v>
      </c>
      <c r="D91" s="173" t="s">
        <v>220</v>
      </c>
      <c r="E91" s="70">
        <v>42036</v>
      </c>
      <c r="F91" s="62" t="s">
        <v>68</v>
      </c>
      <c r="G91" s="19" t="s">
        <v>229</v>
      </c>
      <c r="H91" s="200" t="s">
        <v>97</v>
      </c>
      <c r="I91" s="57" t="s">
        <v>231</v>
      </c>
      <c r="J91" s="15">
        <v>25500</v>
      </c>
      <c r="K91" s="15"/>
      <c r="L91" s="15">
        <f t="shared" si="4"/>
        <v>0</v>
      </c>
      <c r="M91" s="15">
        <v>17766</v>
      </c>
      <c r="N91" s="15">
        <f t="shared" si="5"/>
        <v>453033000</v>
      </c>
      <c r="O91" s="15" t="str">
        <f>IF(AND(A91='BANG KE NL'!$M$11,TH!C91="NL",LEFT(D91,1)="N"),"x","")</f>
        <v/>
      </c>
    </row>
    <row r="92" spans="1:15" hidden="1">
      <c r="A92" s="24">
        <f t="shared" si="6"/>
        <v>2</v>
      </c>
      <c r="B92" s="176" t="str">
        <f>IF(AND(MONTH(E92)='IN-NX'!$J$5,'IN-NX'!$D$7=(D92&amp;"/"&amp;C92)),"x","")</f>
        <v/>
      </c>
      <c r="C92" s="173" t="s">
        <v>226</v>
      </c>
      <c r="D92" s="173" t="s">
        <v>222</v>
      </c>
      <c r="E92" s="70">
        <v>42040</v>
      </c>
      <c r="F92" s="62" t="s">
        <v>68</v>
      </c>
      <c r="G92" s="19" t="s">
        <v>229</v>
      </c>
      <c r="H92" s="200" t="s">
        <v>97</v>
      </c>
      <c r="I92" s="57" t="s">
        <v>231</v>
      </c>
      <c r="J92" s="15">
        <v>25500</v>
      </c>
      <c r="K92" s="15"/>
      <c r="L92" s="15">
        <f t="shared" si="4"/>
        <v>0</v>
      </c>
      <c r="M92" s="15">
        <v>17139</v>
      </c>
      <c r="N92" s="15">
        <f t="shared" si="5"/>
        <v>437044500</v>
      </c>
      <c r="O92" s="15" t="str">
        <f>IF(AND(A92='BANG KE NL'!$M$11,TH!C92="NL",LEFT(D92,1)="N"),"x","")</f>
        <v/>
      </c>
    </row>
    <row r="93" spans="1:15" hidden="1">
      <c r="A93" s="24">
        <f t="shared" si="6"/>
        <v>2</v>
      </c>
      <c r="B93" s="176" t="str">
        <f>IF(AND(MONTH(E93)='IN-NX'!$J$5,'IN-NX'!$D$7=(D93&amp;"/"&amp;C93)),"x","")</f>
        <v/>
      </c>
      <c r="C93" s="173" t="s">
        <v>226</v>
      </c>
      <c r="D93" s="173" t="s">
        <v>268</v>
      </c>
      <c r="E93" s="70">
        <v>42047</v>
      </c>
      <c r="F93" s="62" t="s">
        <v>68</v>
      </c>
      <c r="G93" s="19" t="s">
        <v>229</v>
      </c>
      <c r="H93" s="200" t="s">
        <v>97</v>
      </c>
      <c r="I93" s="57" t="s">
        <v>231</v>
      </c>
      <c r="J93" s="15">
        <v>25500</v>
      </c>
      <c r="K93" s="15"/>
      <c r="L93" s="15">
        <f t="shared" si="4"/>
        <v>0</v>
      </c>
      <c r="M93" s="15">
        <v>10320</v>
      </c>
      <c r="N93" s="15">
        <f t="shared" si="5"/>
        <v>263160000</v>
      </c>
      <c r="O93" s="15" t="str">
        <f>IF(AND(A93='BANG KE NL'!$M$11,TH!C93="NL",LEFT(D93,1)="N"),"x","")</f>
        <v/>
      </c>
    </row>
    <row r="94" spans="1:15" hidden="1">
      <c r="A94" s="24">
        <f t="shared" si="6"/>
        <v>3</v>
      </c>
      <c r="B94" s="176" t="str">
        <f>IF(AND(MONTH(E94)='IN-NX'!$J$5,'IN-NX'!$D$7=(D94&amp;"/"&amp;C94)),"x","")</f>
        <v/>
      </c>
      <c r="C94" s="173" t="s">
        <v>226</v>
      </c>
      <c r="D94" s="173" t="s">
        <v>214</v>
      </c>
      <c r="E94" s="70">
        <v>42064</v>
      </c>
      <c r="F94" s="62" t="s">
        <v>55</v>
      </c>
      <c r="G94" s="19" t="s">
        <v>204</v>
      </c>
      <c r="H94" s="200" t="s">
        <v>231</v>
      </c>
      <c r="I94" s="57" t="s">
        <v>124</v>
      </c>
      <c r="J94" s="15">
        <v>18000</v>
      </c>
      <c r="K94" s="15">
        <v>6073</v>
      </c>
      <c r="L94" s="15">
        <f t="shared" si="4"/>
        <v>109314000</v>
      </c>
      <c r="M94" s="15"/>
      <c r="N94" s="15">
        <f t="shared" si="5"/>
        <v>0</v>
      </c>
      <c r="O94" s="15" t="str">
        <f>IF(AND(A94='BANG KE NL'!$M$11,TH!C94="NL",LEFT(D94,1)="N"),"x","")</f>
        <v/>
      </c>
    </row>
    <row r="95" spans="1:15" hidden="1">
      <c r="A95" s="24">
        <f t="shared" si="6"/>
        <v>3</v>
      </c>
      <c r="B95" s="176" t="str">
        <f>IF(AND(MONTH(E95)='IN-NX'!$J$5,'IN-NX'!$D$7=(D95&amp;"/"&amp;C95)),"x","")</f>
        <v/>
      </c>
      <c r="C95" s="173" t="s">
        <v>226</v>
      </c>
      <c r="D95" s="173" t="s">
        <v>215</v>
      </c>
      <c r="E95" s="70">
        <v>42064</v>
      </c>
      <c r="F95" s="62" t="s">
        <v>55</v>
      </c>
      <c r="G95" s="19" t="s">
        <v>205</v>
      </c>
      <c r="H95" s="200" t="s">
        <v>231</v>
      </c>
      <c r="I95" s="57" t="s">
        <v>124</v>
      </c>
      <c r="J95" s="15">
        <v>18000</v>
      </c>
      <c r="K95" s="15">
        <v>6090</v>
      </c>
      <c r="L95" s="15">
        <f t="shared" si="4"/>
        <v>109620000</v>
      </c>
      <c r="M95" s="15"/>
      <c r="N95" s="15">
        <f t="shared" si="5"/>
        <v>0</v>
      </c>
      <c r="O95" s="15" t="str">
        <f>IF(AND(A95='BANG KE NL'!$M$11,TH!C95="NL",LEFT(D95,1)="N"),"x","")</f>
        <v/>
      </c>
    </row>
    <row r="96" spans="1:15" hidden="1">
      <c r="A96" s="24">
        <f t="shared" si="6"/>
        <v>3</v>
      </c>
      <c r="B96" s="176" t="str">
        <f>IF(AND(MONTH(E96)='IN-NX'!$J$5,'IN-NX'!$D$7=(D96&amp;"/"&amp;C96)),"x","")</f>
        <v/>
      </c>
      <c r="C96" s="173" t="s">
        <v>226</v>
      </c>
      <c r="D96" s="173" t="s">
        <v>216</v>
      </c>
      <c r="E96" s="70">
        <v>42064</v>
      </c>
      <c r="F96" s="62" t="s">
        <v>55</v>
      </c>
      <c r="G96" s="19" t="s">
        <v>206</v>
      </c>
      <c r="H96" s="200" t="s">
        <v>231</v>
      </c>
      <c r="I96" s="57" t="s">
        <v>124</v>
      </c>
      <c r="J96" s="15">
        <v>18000</v>
      </c>
      <c r="K96" s="15">
        <v>6730</v>
      </c>
      <c r="L96" s="15">
        <f t="shared" si="4"/>
        <v>121140000</v>
      </c>
      <c r="M96" s="15"/>
      <c r="N96" s="15">
        <f t="shared" si="5"/>
        <v>0</v>
      </c>
      <c r="O96" s="15" t="str">
        <f>IF(AND(A96='BANG KE NL'!$M$11,TH!C96="NL",LEFT(D96,1)="N"),"x","")</f>
        <v/>
      </c>
    </row>
    <row r="97" spans="1:15" hidden="1">
      <c r="A97" s="24">
        <f t="shared" si="6"/>
        <v>3</v>
      </c>
      <c r="B97" s="176" t="str">
        <f>IF(AND(MONTH(E97)='IN-NX'!$J$5,'IN-NX'!$D$7=(D97&amp;"/"&amp;C97)),"x","")</f>
        <v/>
      </c>
      <c r="C97" s="173" t="s">
        <v>226</v>
      </c>
      <c r="D97" s="173" t="s">
        <v>217</v>
      </c>
      <c r="E97" s="70">
        <v>42070</v>
      </c>
      <c r="F97" s="62" t="s">
        <v>68</v>
      </c>
      <c r="G97" s="19" t="s">
        <v>174</v>
      </c>
      <c r="H97" s="200" t="s">
        <v>231</v>
      </c>
      <c r="I97" s="57" t="s">
        <v>124</v>
      </c>
      <c r="J97" s="15">
        <v>26500</v>
      </c>
      <c r="K97" s="15">
        <v>6080</v>
      </c>
      <c r="L97" s="15">
        <f t="shared" si="4"/>
        <v>161120000</v>
      </c>
      <c r="M97" s="15"/>
      <c r="N97" s="15">
        <f t="shared" si="5"/>
        <v>0</v>
      </c>
      <c r="O97" s="15" t="str">
        <f>IF(AND(A97='BANG KE NL'!$M$11,TH!C97="NL",LEFT(D97,1)="N"),"x","")</f>
        <v/>
      </c>
    </row>
    <row r="98" spans="1:15" hidden="1">
      <c r="A98" s="24">
        <f t="shared" si="6"/>
        <v>3</v>
      </c>
      <c r="B98" s="176" t="str">
        <f>IF(AND(MONTH(E98)='IN-NX'!$J$5,'IN-NX'!$D$7=(D98&amp;"/"&amp;C98)),"x","")</f>
        <v/>
      </c>
      <c r="C98" s="173" t="s">
        <v>226</v>
      </c>
      <c r="D98" s="173" t="s">
        <v>218</v>
      </c>
      <c r="E98" s="70">
        <v>42070</v>
      </c>
      <c r="F98" s="62" t="s">
        <v>68</v>
      </c>
      <c r="G98" s="19" t="s">
        <v>175</v>
      </c>
      <c r="H98" s="200" t="s">
        <v>231</v>
      </c>
      <c r="I98" s="57" t="s">
        <v>124</v>
      </c>
      <c r="J98" s="15">
        <v>26500</v>
      </c>
      <c r="K98" s="15">
        <v>6983</v>
      </c>
      <c r="L98" s="15">
        <f t="shared" si="4"/>
        <v>185049500</v>
      </c>
      <c r="M98" s="15"/>
      <c r="N98" s="15">
        <f t="shared" si="5"/>
        <v>0</v>
      </c>
      <c r="O98" s="15" t="str">
        <f>IF(AND(A98='BANG KE NL'!$M$11,TH!C98="NL",LEFT(D98,1)="N"),"x","")</f>
        <v/>
      </c>
    </row>
    <row r="99" spans="1:15" hidden="1">
      <c r="A99" s="24">
        <f t="shared" si="6"/>
        <v>3</v>
      </c>
      <c r="B99" s="176" t="str">
        <f>IF(AND(MONTH(E99)='IN-NX'!$J$5,'IN-NX'!$D$7=(D99&amp;"/"&amp;C99)),"x","")</f>
        <v/>
      </c>
      <c r="C99" s="173" t="s">
        <v>226</v>
      </c>
      <c r="D99" s="173" t="s">
        <v>219</v>
      </c>
      <c r="E99" s="70">
        <v>42070</v>
      </c>
      <c r="F99" s="62" t="s">
        <v>68</v>
      </c>
      <c r="G99" s="19" t="s">
        <v>176</v>
      </c>
      <c r="H99" s="200" t="s">
        <v>231</v>
      </c>
      <c r="I99" s="57" t="s">
        <v>124</v>
      </c>
      <c r="J99" s="15">
        <v>26500</v>
      </c>
      <c r="K99" s="15">
        <v>6083</v>
      </c>
      <c r="L99" s="15">
        <f t="shared" si="4"/>
        <v>161199500</v>
      </c>
      <c r="M99" s="15"/>
      <c r="N99" s="15">
        <f t="shared" si="5"/>
        <v>0</v>
      </c>
      <c r="O99" s="15" t="str">
        <f>IF(AND(A99='BANG KE NL'!$M$11,TH!C99="NL",LEFT(D99,1)="N"),"x","")</f>
        <v/>
      </c>
    </row>
    <row r="100" spans="1:15" hidden="1">
      <c r="A100" s="24">
        <f t="shared" si="6"/>
        <v>3</v>
      </c>
      <c r="B100" s="176" t="str">
        <f>IF(AND(MONTH(E100)='IN-NX'!$J$5,'IN-NX'!$D$7=(D100&amp;"/"&amp;C100)),"x","")</f>
        <v/>
      </c>
      <c r="C100" s="173" t="s">
        <v>226</v>
      </c>
      <c r="D100" s="173" t="s">
        <v>232</v>
      </c>
      <c r="E100" s="70">
        <v>42072</v>
      </c>
      <c r="F100" s="62" t="s">
        <v>55</v>
      </c>
      <c r="G100" s="19" t="s">
        <v>208</v>
      </c>
      <c r="H100" s="200" t="s">
        <v>231</v>
      </c>
      <c r="I100" s="57" t="s">
        <v>124</v>
      </c>
      <c r="J100" s="15">
        <v>18000</v>
      </c>
      <c r="K100" s="15">
        <v>6570</v>
      </c>
      <c r="L100" s="15">
        <f t="shared" si="4"/>
        <v>118260000</v>
      </c>
      <c r="M100" s="15"/>
      <c r="N100" s="15">
        <f t="shared" si="5"/>
        <v>0</v>
      </c>
      <c r="O100" s="15" t="str">
        <f>IF(AND(A100='BANG KE NL'!$M$11,TH!C100="NL",LEFT(D100,1)="N"),"x","")</f>
        <v/>
      </c>
    </row>
    <row r="101" spans="1:15" hidden="1">
      <c r="A101" s="24">
        <f t="shared" si="6"/>
        <v>3</v>
      </c>
      <c r="B101" s="176" t="str">
        <f>IF(AND(MONTH(E101)='IN-NX'!$J$5,'IN-NX'!$D$7=(D101&amp;"/"&amp;C101)),"x","")</f>
        <v/>
      </c>
      <c r="C101" s="173" t="s">
        <v>226</v>
      </c>
      <c r="D101" s="173" t="s">
        <v>234</v>
      </c>
      <c r="E101" s="70">
        <v>42072</v>
      </c>
      <c r="F101" s="62" t="s">
        <v>55</v>
      </c>
      <c r="G101" s="19" t="s">
        <v>205</v>
      </c>
      <c r="H101" s="200" t="s">
        <v>231</v>
      </c>
      <c r="I101" s="57" t="s">
        <v>124</v>
      </c>
      <c r="J101" s="15">
        <v>18000</v>
      </c>
      <c r="K101" s="15">
        <v>6493</v>
      </c>
      <c r="L101" s="15">
        <f t="shared" si="4"/>
        <v>116874000</v>
      </c>
      <c r="M101" s="15"/>
      <c r="N101" s="15">
        <f t="shared" si="5"/>
        <v>0</v>
      </c>
      <c r="O101" s="15" t="str">
        <f>IF(AND(A101='BANG KE NL'!$M$11,TH!C101="NL",LEFT(D101,1)="N"),"x","")</f>
        <v/>
      </c>
    </row>
    <row r="102" spans="1:15" hidden="1">
      <c r="A102" s="24">
        <f t="shared" si="6"/>
        <v>3</v>
      </c>
      <c r="B102" s="176" t="str">
        <f>IF(AND(MONTH(E102)='IN-NX'!$J$5,'IN-NX'!$D$7=(D102&amp;"/"&amp;C102)),"x","")</f>
        <v/>
      </c>
      <c r="C102" s="173" t="s">
        <v>226</v>
      </c>
      <c r="D102" s="173" t="s">
        <v>235</v>
      </c>
      <c r="E102" s="70">
        <v>42072</v>
      </c>
      <c r="F102" s="62" t="s">
        <v>55</v>
      </c>
      <c r="G102" s="19" t="s">
        <v>210</v>
      </c>
      <c r="H102" s="200" t="s">
        <v>231</v>
      </c>
      <c r="I102" s="57" t="s">
        <v>124</v>
      </c>
      <c r="J102" s="15">
        <v>18000</v>
      </c>
      <c r="K102" s="15">
        <v>6040</v>
      </c>
      <c r="L102" s="15">
        <f t="shared" si="4"/>
        <v>108720000</v>
      </c>
      <c r="M102" s="15"/>
      <c r="N102" s="15">
        <f t="shared" si="5"/>
        <v>0</v>
      </c>
      <c r="O102" s="15" t="str">
        <f>IF(AND(A102='BANG KE NL'!$M$11,TH!C102="NL",LEFT(D102,1)="N"),"x","")</f>
        <v/>
      </c>
    </row>
    <row r="103" spans="1:15" hidden="1">
      <c r="A103" s="24">
        <f t="shared" si="6"/>
        <v>3</v>
      </c>
      <c r="B103" s="176" t="str">
        <f>IF(AND(MONTH(E103)='IN-NX'!$J$5,'IN-NX'!$D$7=(D103&amp;"/"&amp;C103)),"x","")</f>
        <v/>
      </c>
      <c r="C103" s="173" t="s">
        <v>226</v>
      </c>
      <c r="D103" s="173" t="s">
        <v>236</v>
      </c>
      <c r="E103" s="70">
        <v>42072</v>
      </c>
      <c r="F103" s="62" t="s">
        <v>127</v>
      </c>
      <c r="G103" s="19" t="s">
        <v>277</v>
      </c>
      <c r="H103" s="205" t="s">
        <v>231</v>
      </c>
      <c r="I103" s="203" t="s">
        <v>124</v>
      </c>
      <c r="J103" s="15">
        <v>40000</v>
      </c>
      <c r="K103" s="15">
        <v>4500</v>
      </c>
      <c r="L103" s="15">
        <f t="shared" si="4"/>
        <v>180000000</v>
      </c>
      <c r="M103" s="15"/>
      <c r="N103" s="15">
        <f t="shared" si="5"/>
        <v>0</v>
      </c>
      <c r="O103" s="15" t="str">
        <f>IF(AND(A103='BANG KE NL'!$M$11,TH!C103="NL",LEFT(D103,1)="N"),"x","")</f>
        <v/>
      </c>
    </row>
    <row r="104" spans="1:15" hidden="1">
      <c r="A104" s="24">
        <f t="shared" si="6"/>
        <v>3</v>
      </c>
      <c r="B104" s="176" t="str">
        <f>IF(AND(MONTH(E104)='IN-NX'!$J$5,'IN-NX'!$D$7=(D104&amp;"/"&amp;C104)),"x","")</f>
        <v/>
      </c>
      <c r="C104" s="173" t="s">
        <v>226</v>
      </c>
      <c r="D104" s="173" t="s">
        <v>237</v>
      </c>
      <c r="E104" s="70">
        <v>42078</v>
      </c>
      <c r="F104" s="62" t="s">
        <v>55</v>
      </c>
      <c r="G104" s="19" t="s">
        <v>202</v>
      </c>
      <c r="H104" s="200" t="s">
        <v>231</v>
      </c>
      <c r="I104" s="57" t="s">
        <v>124</v>
      </c>
      <c r="J104" s="15">
        <v>18000</v>
      </c>
      <c r="K104" s="15">
        <v>6980</v>
      </c>
      <c r="L104" s="15">
        <f t="shared" si="4"/>
        <v>125640000</v>
      </c>
      <c r="M104" s="15"/>
      <c r="N104" s="15">
        <f t="shared" si="5"/>
        <v>0</v>
      </c>
      <c r="O104" s="15" t="str">
        <f>IF(AND(A104='BANG KE NL'!$M$11,TH!C104="NL",LEFT(D104,1)="N"),"x","")</f>
        <v/>
      </c>
    </row>
    <row r="105" spans="1:15" hidden="1">
      <c r="A105" s="24">
        <f t="shared" si="6"/>
        <v>3</v>
      </c>
      <c r="B105" s="176" t="str">
        <f>IF(AND(MONTH(E105)='IN-NX'!$J$5,'IN-NX'!$D$7=(D105&amp;"/"&amp;C105)),"x","")</f>
        <v/>
      </c>
      <c r="C105" s="173" t="s">
        <v>226</v>
      </c>
      <c r="D105" s="173" t="s">
        <v>238</v>
      </c>
      <c r="E105" s="70">
        <v>42078</v>
      </c>
      <c r="F105" s="62" t="s">
        <v>55</v>
      </c>
      <c r="G105" s="19" t="s">
        <v>210</v>
      </c>
      <c r="H105" s="200" t="s">
        <v>231</v>
      </c>
      <c r="I105" s="57" t="s">
        <v>124</v>
      </c>
      <c r="J105" s="15">
        <v>18000</v>
      </c>
      <c r="K105" s="15">
        <v>6083</v>
      </c>
      <c r="L105" s="15">
        <f t="shared" si="4"/>
        <v>109494000</v>
      </c>
      <c r="M105" s="15"/>
      <c r="N105" s="15">
        <f t="shared" si="5"/>
        <v>0</v>
      </c>
      <c r="O105" s="15" t="str">
        <f>IF(AND(A105='BANG KE NL'!$M$11,TH!C105="NL",LEFT(D105,1)="N"),"x","")</f>
        <v/>
      </c>
    </row>
    <row r="106" spans="1:15" hidden="1">
      <c r="A106" s="24">
        <f t="shared" si="6"/>
        <v>3</v>
      </c>
      <c r="B106" s="176" t="str">
        <f>IF(AND(MONTH(E106)='IN-NX'!$J$5,'IN-NX'!$D$7=(D106&amp;"/"&amp;C106)),"x","")</f>
        <v/>
      </c>
      <c r="C106" s="173" t="s">
        <v>226</v>
      </c>
      <c r="D106" s="173" t="s">
        <v>239</v>
      </c>
      <c r="E106" s="70">
        <v>42078</v>
      </c>
      <c r="F106" s="62" t="s">
        <v>55</v>
      </c>
      <c r="G106" s="19" t="s">
        <v>208</v>
      </c>
      <c r="H106" s="200" t="s">
        <v>231</v>
      </c>
      <c r="I106" s="57" t="s">
        <v>124</v>
      </c>
      <c r="J106" s="15">
        <v>18000</v>
      </c>
      <c r="K106" s="15">
        <v>5930</v>
      </c>
      <c r="L106" s="15">
        <f t="shared" si="4"/>
        <v>106740000</v>
      </c>
      <c r="M106" s="15"/>
      <c r="N106" s="15">
        <f t="shared" si="5"/>
        <v>0</v>
      </c>
      <c r="O106" s="15" t="str">
        <f>IF(AND(A106='BANG KE NL'!$M$11,TH!C106="NL",LEFT(D106,1)="N"),"x","")</f>
        <v/>
      </c>
    </row>
    <row r="107" spans="1:15" hidden="1">
      <c r="A107" s="24">
        <f t="shared" si="6"/>
        <v>3</v>
      </c>
      <c r="B107" s="176" t="str">
        <f>IF(AND(MONTH(E107)='IN-NX'!$J$5,'IN-NX'!$D$7=(D107&amp;"/"&amp;C107)),"x","")</f>
        <v/>
      </c>
      <c r="C107" s="173" t="s">
        <v>226</v>
      </c>
      <c r="D107" s="173" t="s">
        <v>240</v>
      </c>
      <c r="E107" s="70">
        <v>42078</v>
      </c>
      <c r="F107" s="62" t="s">
        <v>55</v>
      </c>
      <c r="G107" s="19" t="s">
        <v>206</v>
      </c>
      <c r="H107" s="200" t="s">
        <v>231</v>
      </c>
      <c r="I107" s="57" t="s">
        <v>124</v>
      </c>
      <c r="J107" s="15">
        <v>18000</v>
      </c>
      <c r="K107" s="15">
        <v>6151</v>
      </c>
      <c r="L107" s="15">
        <f t="shared" si="4"/>
        <v>110718000</v>
      </c>
      <c r="M107" s="15"/>
      <c r="N107" s="15">
        <f t="shared" si="5"/>
        <v>0</v>
      </c>
      <c r="O107" s="15" t="str">
        <f>IF(AND(A107='BANG KE NL'!$M$11,TH!C107="NL",LEFT(D107,1)="N"),"x","")</f>
        <v/>
      </c>
    </row>
    <row r="108" spans="1:15" hidden="1">
      <c r="A108" s="24">
        <f t="shared" si="6"/>
        <v>3</v>
      </c>
      <c r="B108" s="176" t="str">
        <f>IF(AND(MONTH(E108)='IN-NX'!$J$5,'IN-NX'!$D$7=(D108&amp;"/"&amp;C108)),"x","")</f>
        <v/>
      </c>
      <c r="C108" s="173" t="s">
        <v>226</v>
      </c>
      <c r="D108" s="173" t="s">
        <v>241</v>
      </c>
      <c r="E108" s="70">
        <v>42080</v>
      </c>
      <c r="F108" s="62" t="s">
        <v>42</v>
      </c>
      <c r="G108" s="19" t="s">
        <v>185</v>
      </c>
      <c r="H108" s="200" t="s">
        <v>231</v>
      </c>
      <c r="I108" s="57" t="s">
        <v>124</v>
      </c>
      <c r="J108" s="15">
        <v>29500</v>
      </c>
      <c r="K108" s="15">
        <v>5105</v>
      </c>
      <c r="L108" s="15">
        <f t="shared" si="4"/>
        <v>150597500</v>
      </c>
      <c r="M108" s="15"/>
      <c r="N108" s="15">
        <f t="shared" si="5"/>
        <v>0</v>
      </c>
      <c r="O108" s="15" t="str">
        <f>IF(AND(A108='BANG KE NL'!$M$11,TH!C108="NL",LEFT(D108,1)="N"),"x","")</f>
        <v/>
      </c>
    </row>
    <row r="109" spans="1:15" hidden="1">
      <c r="A109" s="24">
        <f t="shared" si="6"/>
        <v>3</v>
      </c>
      <c r="B109" s="176" t="str">
        <f>IF(AND(MONTH(E109)='IN-NX'!$J$5,'IN-NX'!$D$7=(D109&amp;"/"&amp;C109)),"x","")</f>
        <v/>
      </c>
      <c r="C109" s="173" t="s">
        <v>226</v>
      </c>
      <c r="D109" s="173" t="s">
        <v>242</v>
      </c>
      <c r="E109" s="70">
        <v>42080</v>
      </c>
      <c r="F109" s="62" t="s">
        <v>42</v>
      </c>
      <c r="G109" s="19" t="s">
        <v>186</v>
      </c>
      <c r="H109" s="200" t="s">
        <v>231</v>
      </c>
      <c r="I109" s="57" t="s">
        <v>124</v>
      </c>
      <c r="J109" s="15">
        <v>29500</v>
      </c>
      <c r="K109" s="15">
        <f>5540-1176</f>
        <v>4364</v>
      </c>
      <c r="L109" s="15">
        <f t="shared" si="4"/>
        <v>128738000</v>
      </c>
      <c r="M109" s="15"/>
      <c r="N109" s="15">
        <f t="shared" si="5"/>
        <v>0</v>
      </c>
      <c r="O109" s="15" t="str">
        <f>IF(AND(A109='BANG KE NL'!$M$11,TH!C109="NL",LEFT(D109,1)="N"),"x","")</f>
        <v/>
      </c>
    </row>
    <row r="110" spans="1:15" hidden="1">
      <c r="A110" s="24">
        <f t="shared" si="6"/>
        <v>3</v>
      </c>
      <c r="B110" s="176" t="str">
        <f>IF(AND(MONTH(E110)='IN-NX'!$J$5,'IN-NX'!$D$7=(D110&amp;"/"&amp;C110)),"x","")</f>
        <v/>
      </c>
      <c r="C110" s="173" t="s">
        <v>226</v>
      </c>
      <c r="D110" s="173" t="s">
        <v>243</v>
      </c>
      <c r="E110" s="70">
        <v>42080</v>
      </c>
      <c r="F110" s="62" t="s">
        <v>42</v>
      </c>
      <c r="G110" s="19" t="s">
        <v>187</v>
      </c>
      <c r="H110" s="200" t="s">
        <v>231</v>
      </c>
      <c r="I110" s="57" t="s">
        <v>124</v>
      </c>
      <c r="J110" s="15">
        <v>29500</v>
      </c>
      <c r="K110" s="15">
        <v>5010</v>
      </c>
      <c r="L110" s="15">
        <f t="shared" si="4"/>
        <v>147795000</v>
      </c>
      <c r="M110" s="15"/>
      <c r="N110" s="15">
        <f t="shared" si="5"/>
        <v>0</v>
      </c>
      <c r="O110" s="15" t="str">
        <f>IF(AND(A110='BANG KE NL'!$M$11,TH!C110="NL",LEFT(D110,1)="N"),"x","")</f>
        <v/>
      </c>
    </row>
    <row r="111" spans="1:15" hidden="1">
      <c r="A111" s="24">
        <f t="shared" si="6"/>
        <v>3</v>
      </c>
      <c r="B111" s="176" t="str">
        <f>IF(AND(MONTH(E111)='IN-NX'!$J$5,'IN-NX'!$D$7=(D111&amp;"/"&amp;C111)),"x","")</f>
        <v/>
      </c>
      <c r="C111" s="173" t="s">
        <v>226</v>
      </c>
      <c r="D111" s="173" t="s">
        <v>244</v>
      </c>
      <c r="E111" s="70">
        <v>42081</v>
      </c>
      <c r="F111" s="62" t="s">
        <v>68</v>
      </c>
      <c r="G111" s="19" t="s">
        <v>176</v>
      </c>
      <c r="H111" s="200" t="s">
        <v>231</v>
      </c>
      <c r="I111" s="57" t="s">
        <v>124</v>
      </c>
      <c r="J111" s="15">
        <v>26500</v>
      </c>
      <c r="K111" s="15">
        <v>6986</v>
      </c>
      <c r="L111" s="15">
        <f t="shared" si="4"/>
        <v>185129000</v>
      </c>
      <c r="M111" s="15"/>
      <c r="N111" s="15">
        <f t="shared" si="5"/>
        <v>0</v>
      </c>
      <c r="O111" s="15" t="str">
        <f>IF(AND(A111='BANG KE NL'!$M$11,TH!C111="NL",LEFT(D111,1)="N"),"x","")</f>
        <v/>
      </c>
    </row>
    <row r="112" spans="1:15" hidden="1">
      <c r="A112" s="24">
        <f t="shared" si="6"/>
        <v>3</v>
      </c>
      <c r="B112" s="176" t="str">
        <f>IF(AND(MONTH(E112)='IN-NX'!$J$5,'IN-NX'!$D$7=(D112&amp;"/"&amp;C112)),"x","")</f>
        <v/>
      </c>
      <c r="C112" s="173" t="s">
        <v>226</v>
      </c>
      <c r="D112" s="173" t="s">
        <v>245</v>
      </c>
      <c r="E112" s="70">
        <v>42081</v>
      </c>
      <c r="F112" s="62" t="s">
        <v>68</v>
      </c>
      <c r="G112" s="19" t="s">
        <v>180</v>
      </c>
      <c r="H112" s="200" t="s">
        <v>231</v>
      </c>
      <c r="I112" s="57" t="s">
        <v>124</v>
      </c>
      <c r="J112" s="15">
        <v>26500</v>
      </c>
      <c r="K112" s="15">
        <v>6071</v>
      </c>
      <c r="L112" s="15">
        <f t="shared" si="4"/>
        <v>160881500</v>
      </c>
      <c r="M112" s="15"/>
      <c r="N112" s="15">
        <f t="shared" si="5"/>
        <v>0</v>
      </c>
      <c r="O112" s="15" t="str">
        <f>IF(AND(A112='BANG KE NL'!$M$11,TH!C112="NL",LEFT(D112,1)="N"),"x","")</f>
        <v/>
      </c>
    </row>
    <row r="113" spans="1:15" hidden="1">
      <c r="A113" s="24">
        <f t="shared" si="6"/>
        <v>3</v>
      </c>
      <c r="B113" s="176" t="str">
        <f>IF(AND(MONTH(E113)='IN-NX'!$J$5,'IN-NX'!$D$7=(D113&amp;"/"&amp;C113)),"x","")</f>
        <v/>
      </c>
      <c r="C113" s="173" t="s">
        <v>226</v>
      </c>
      <c r="D113" s="173" t="s">
        <v>246</v>
      </c>
      <c r="E113" s="70">
        <v>42081</v>
      </c>
      <c r="F113" s="62" t="s">
        <v>68</v>
      </c>
      <c r="G113" s="19" t="s">
        <v>181</v>
      </c>
      <c r="H113" s="200" t="s">
        <v>231</v>
      </c>
      <c r="I113" s="57" t="s">
        <v>124</v>
      </c>
      <c r="J113" s="15">
        <v>26500</v>
      </c>
      <c r="K113" s="15">
        <v>4360</v>
      </c>
      <c r="L113" s="15">
        <f t="shared" si="4"/>
        <v>115540000</v>
      </c>
      <c r="M113" s="15"/>
      <c r="N113" s="15">
        <f t="shared" si="5"/>
        <v>0</v>
      </c>
      <c r="O113" s="15" t="str">
        <f>IF(AND(A113='BANG KE NL'!$M$11,TH!C113="NL",LEFT(D113,1)="N"),"x","")</f>
        <v/>
      </c>
    </row>
    <row r="114" spans="1:15" hidden="1">
      <c r="A114" s="24">
        <f t="shared" si="6"/>
        <v>3</v>
      </c>
      <c r="B114" s="176" t="str">
        <f>IF(AND(MONTH(E114)='IN-NX'!$J$5,'IN-NX'!$D$7=(D114&amp;"/"&amp;C114)),"x","")</f>
        <v/>
      </c>
      <c r="C114" s="173" t="s">
        <v>226</v>
      </c>
      <c r="D114" s="173" t="s">
        <v>247</v>
      </c>
      <c r="E114" s="70">
        <v>42084</v>
      </c>
      <c r="F114" s="62" t="s">
        <v>42</v>
      </c>
      <c r="G114" s="19" t="s">
        <v>197</v>
      </c>
      <c r="H114" s="200" t="s">
        <v>231</v>
      </c>
      <c r="I114" s="57" t="s">
        <v>124</v>
      </c>
      <c r="J114" s="15">
        <v>29500</v>
      </c>
      <c r="K114" s="15">
        <v>5073</v>
      </c>
      <c r="L114" s="15">
        <f t="shared" si="4"/>
        <v>149653500</v>
      </c>
      <c r="M114" s="15"/>
      <c r="N114" s="15">
        <f t="shared" si="5"/>
        <v>0</v>
      </c>
      <c r="O114" s="15" t="str">
        <f>IF(AND(A114='BANG KE NL'!$M$11,TH!C114="NL",LEFT(D114,1)="N"),"x","")</f>
        <v/>
      </c>
    </row>
    <row r="115" spans="1:15" hidden="1">
      <c r="A115" s="24">
        <f t="shared" si="6"/>
        <v>3</v>
      </c>
      <c r="B115" s="176" t="str">
        <f>IF(AND(MONTH(E115)='IN-NX'!$J$5,'IN-NX'!$D$7=(D115&amp;"/"&amp;C115)),"x","")</f>
        <v/>
      </c>
      <c r="C115" s="173" t="s">
        <v>226</v>
      </c>
      <c r="D115" s="173" t="s">
        <v>248</v>
      </c>
      <c r="E115" s="70">
        <v>42084</v>
      </c>
      <c r="F115" s="62" t="s">
        <v>42</v>
      </c>
      <c r="G115" s="19" t="s">
        <v>191</v>
      </c>
      <c r="H115" s="200" t="s">
        <v>231</v>
      </c>
      <c r="I115" s="57" t="s">
        <v>124</v>
      </c>
      <c r="J115" s="15">
        <v>29500</v>
      </c>
      <c r="K115" s="15">
        <v>5136</v>
      </c>
      <c r="L115" s="15">
        <f t="shared" si="4"/>
        <v>151512000</v>
      </c>
      <c r="M115" s="15"/>
      <c r="N115" s="15">
        <f t="shared" si="5"/>
        <v>0</v>
      </c>
      <c r="O115" s="15" t="str">
        <f>IF(AND(A115='BANG KE NL'!$M$11,TH!C115="NL",LEFT(D115,1)="N"),"x","")</f>
        <v/>
      </c>
    </row>
    <row r="116" spans="1:15" hidden="1">
      <c r="A116" s="24">
        <f t="shared" si="6"/>
        <v>3</v>
      </c>
      <c r="B116" s="176" t="str">
        <f>IF(AND(MONTH(E116)='IN-NX'!$J$5,'IN-NX'!$D$7=(D116&amp;"/"&amp;C116)),"x","")</f>
        <v/>
      </c>
      <c r="C116" s="173" t="s">
        <v>226</v>
      </c>
      <c r="D116" s="173" t="s">
        <v>249</v>
      </c>
      <c r="E116" s="70">
        <v>42084</v>
      </c>
      <c r="F116" s="62" t="s">
        <v>42</v>
      </c>
      <c r="G116" s="19" t="s">
        <v>192</v>
      </c>
      <c r="H116" s="200" t="s">
        <v>231</v>
      </c>
      <c r="I116" s="57" t="s">
        <v>124</v>
      </c>
      <c r="J116" s="15">
        <v>29500</v>
      </c>
      <c r="K116" s="15">
        <v>5300</v>
      </c>
      <c r="L116" s="15">
        <f t="shared" si="4"/>
        <v>156350000</v>
      </c>
      <c r="M116" s="15"/>
      <c r="N116" s="15">
        <f t="shared" si="5"/>
        <v>0</v>
      </c>
      <c r="O116" s="15" t="str">
        <f>IF(AND(A116='BANG KE NL'!$M$11,TH!C116="NL",LEFT(D116,1)="N"),"x","")</f>
        <v/>
      </c>
    </row>
    <row r="117" spans="1:15" hidden="1">
      <c r="A117" s="24">
        <f t="shared" si="6"/>
        <v>3</v>
      </c>
      <c r="B117" s="176" t="str">
        <f>IF(AND(MONTH(E117)='IN-NX'!$J$5,'IN-NX'!$D$7=(D117&amp;"/"&amp;C117)),"x","")</f>
        <v/>
      </c>
      <c r="C117" s="173" t="s">
        <v>226</v>
      </c>
      <c r="D117" s="173" t="s">
        <v>220</v>
      </c>
      <c r="E117" s="70">
        <v>42064</v>
      </c>
      <c r="F117" s="62" t="s">
        <v>55</v>
      </c>
      <c r="G117" s="19" t="s">
        <v>229</v>
      </c>
      <c r="H117" s="200" t="s">
        <v>97</v>
      </c>
      <c r="I117" s="57" t="s">
        <v>231</v>
      </c>
      <c r="J117" s="15">
        <v>18000</v>
      </c>
      <c r="K117" s="15"/>
      <c r="L117" s="15">
        <f t="shared" si="4"/>
        <v>0</v>
      </c>
      <c r="M117" s="15">
        <v>18893</v>
      </c>
      <c r="N117" s="15">
        <f t="shared" si="5"/>
        <v>340074000</v>
      </c>
      <c r="O117" s="15" t="str">
        <f>IF(AND(A117='BANG KE NL'!$M$11,TH!C117="NL",LEFT(D117,1)="N"),"x","")</f>
        <v/>
      </c>
    </row>
    <row r="118" spans="1:15" hidden="1">
      <c r="A118" s="24">
        <f t="shared" si="6"/>
        <v>3</v>
      </c>
      <c r="B118" s="176" t="str">
        <f>IF(AND(MONTH(E118)='IN-NX'!$J$5,'IN-NX'!$D$7=(D118&amp;"/"&amp;C118)),"x","")</f>
        <v/>
      </c>
      <c r="C118" s="173" t="s">
        <v>226</v>
      </c>
      <c r="D118" s="173" t="s">
        <v>221</v>
      </c>
      <c r="E118" s="70">
        <v>42070</v>
      </c>
      <c r="F118" s="62" t="s">
        <v>68</v>
      </c>
      <c r="G118" s="19" t="s">
        <v>229</v>
      </c>
      <c r="H118" s="200" t="s">
        <v>97</v>
      </c>
      <c r="I118" s="57" t="s">
        <v>231</v>
      </c>
      <c r="J118" s="15">
        <v>26500</v>
      </c>
      <c r="K118" s="15"/>
      <c r="L118" s="15">
        <f t="shared" si="4"/>
        <v>0</v>
      </c>
      <c r="M118" s="15">
        <v>19146</v>
      </c>
      <c r="N118" s="15">
        <f t="shared" si="5"/>
        <v>507369000</v>
      </c>
      <c r="O118" s="15" t="str">
        <f>IF(AND(A118='BANG KE NL'!$M$11,TH!C118="NL",LEFT(D118,1)="N"),"x","")</f>
        <v/>
      </c>
    </row>
    <row r="119" spans="1:15" hidden="1">
      <c r="A119" s="24">
        <f t="shared" si="6"/>
        <v>3</v>
      </c>
      <c r="B119" s="176" t="str">
        <f>IF(AND(MONTH(E119)='IN-NX'!$J$5,'IN-NX'!$D$7=(D119&amp;"/"&amp;C119)),"x","")</f>
        <v/>
      </c>
      <c r="C119" s="173" t="s">
        <v>226</v>
      </c>
      <c r="D119" s="173" t="s">
        <v>222</v>
      </c>
      <c r="E119" s="70">
        <v>42072</v>
      </c>
      <c r="F119" s="62" t="s">
        <v>55</v>
      </c>
      <c r="G119" s="19" t="s">
        <v>229</v>
      </c>
      <c r="H119" s="200" t="s">
        <v>97</v>
      </c>
      <c r="I119" s="57" t="s">
        <v>231</v>
      </c>
      <c r="J119" s="15">
        <v>18000</v>
      </c>
      <c r="K119" s="15"/>
      <c r="L119" s="15">
        <f t="shared" si="4"/>
        <v>0</v>
      </c>
      <c r="M119" s="15">
        <v>19103</v>
      </c>
      <c r="N119" s="15">
        <f t="shared" si="5"/>
        <v>343854000</v>
      </c>
      <c r="O119" s="15" t="str">
        <f>IF(AND(A119='BANG KE NL'!$M$11,TH!C119="NL",LEFT(D119,1)="N"),"x","")</f>
        <v/>
      </c>
    </row>
    <row r="120" spans="1:15" hidden="1">
      <c r="A120" s="24">
        <f t="shared" si="6"/>
        <v>3</v>
      </c>
      <c r="B120" s="176" t="str">
        <f>IF(AND(MONTH(E120)='IN-NX'!$J$5,'IN-NX'!$D$7=(D120&amp;"/"&amp;C120)),"x","")</f>
        <v/>
      </c>
      <c r="C120" s="173" t="s">
        <v>226</v>
      </c>
      <c r="D120" s="173" t="s">
        <v>222</v>
      </c>
      <c r="E120" s="70">
        <v>42072</v>
      </c>
      <c r="F120" s="62" t="s">
        <v>127</v>
      </c>
      <c r="G120" s="19" t="s">
        <v>229</v>
      </c>
      <c r="H120" s="200" t="s">
        <v>97</v>
      </c>
      <c r="I120" s="57" t="s">
        <v>231</v>
      </c>
      <c r="J120" s="15">
        <v>40000</v>
      </c>
      <c r="K120" s="15"/>
      <c r="L120" s="15">
        <f t="shared" si="4"/>
        <v>0</v>
      </c>
      <c r="M120" s="15">
        <v>4500</v>
      </c>
      <c r="N120" s="15">
        <f t="shared" si="5"/>
        <v>180000000</v>
      </c>
      <c r="O120" s="15" t="str">
        <f>IF(AND(A120='BANG KE NL'!$M$11,TH!C120="NL",LEFT(D120,1)="N"),"x","")</f>
        <v/>
      </c>
    </row>
    <row r="121" spans="1:15" hidden="1">
      <c r="A121" s="24">
        <f t="shared" si="6"/>
        <v>3</v>
      </c>
      <c r="B121" s="176" t="str">
        <f>IF(AND(MONTH(E121)='IN-NX'!$J$5,'IN-NX'!$D$7=(D121&amp;"/"&amp;C121)),"x","")</f>
        <v/>
      </c>
      <c r="C121" s="173" t="s">
        <v>226</v>
      </c>
      <c r="D121" s="173" t="s">
        <v>223</v>
      </c>
      <c r="E121" s="70">
        <v>42078</v>
      </c>
      <c r="F121" s="62" t="s">
        <v>55</v>
      </c>
      <c r="G121" s="19" t="s">
        <v>229</v>
      </c>
      <c r="H121" s="200" t="s">
        <v>97</v>
      </c>
      <c r="I121" s="57" t="s">
        <v>231</v>
      </c>
      <c r="J121" s="15">
        <v>18000</v>
      </c>
      <c r="K121" s="15"/>
      <c r="L121" s="15">
        <f t="shared" si="4"/>
        <v>0</v>
      </c>
      <c r="M121" s="15">
        <v>25144</v>
      </c>
      <c r="N121" s="15">
        <f t="shared" si="5"/>
        <v>452592000</v>
      </c>
      <c r="O121" s="15" t="str">
        <f>IF(AND(A121='BANG KE NL'!$M$11,TH!C121="NL",LEFT(D121,1)="N"),"x","")</f>
        <v/>
      </c>
    </row>
    <row r="122" spans="1:15" hidden="1">
      <c r="A122" s="24">
        <f t="shared" si="6"/>
        <v>3</v>
      </c>
      <c r="B122" s="176" t="str">
        <f>IF(AND(MONTH(E122)='IN-NX'!$J$5,'IN-NX'!$D$7=(D122&amp;"/"&amp;C122)),"x","")</f>
        <v/>
      </c>
      <c r="C122" s="173" t="s">
        <v>226</v>
      </c>
      <c r="D122" s="173" t="s">
        <v>230</v>
      </c>
      <c r="E122" s="70">
        <v>42080</v>
      </c>
      <c r="F122" s="62" t="s">
        <v>42</v>
      </c>
      <c r="G122" s="19" t="s">
        <v>229</v>
      </c>
      <c r="H122" s="200" t="s">
        <v>97</v>
      </c>
      <c r="I122" s="57" t="s">
        <v>231</v>
      </c>
      <c r="J122" s="15">
        <v>29500</v>
      </c>
      <c r="K122" s="15"/>
      <c r="L122" s="15">
        <f t="shared" si="4"/>
        <v>0</v>
      </c>
      <c r="M122" s="15">
        <v>14479</v>
      </c>
      <c r="N122" s="15">
        <f t="shared" si="5"/>
        <v>427130500</v>
      </c>
      <c r="O122" s="15" t="str">
        <f>IF(AND(A122='BANG KE NL'!$M$11,TH!C122="NL",LEFT(D122,1)="N"),"x","")</f>
        <v/>
      </c>
    </row>
    <row r="123" spans="1:15" hidden="1">
      <c r="A123" s="24">
        <f t="shared" si="6"/>
        <v>3</v>
      </c>
      <c r="B123" s="176" t="str">
        <f>IF(AND(MONTH(E123)='IN-NX'!$J$5,'IN-NX'!$D$7=(D123&amp;"/"&amp;C123)),"x","")</f>
        <v/>
      </c>
      <c r="C123" s="173" t="s">
        <v>226</v>
      </c>
      <c r="D123" s="173" t="s">
        <v>268</v>
      </c>
      <c r="E123" s="70">
        <v>42081</v>
      </c>
      <c r="F123" s="62" t="s">
        <v>68</v>
      </c>
      <c r="G123" s="19" t="s">
        <v>229</v>
      </c>
      <c r="H123" s="200" t="s">
        <v>97</v>
      </c>
      <c r="I123" s="57" t="s">
        <v>231</v>
      </c>
      <c r="J123" s="15">
        <v>26500</v>
      </c>
      <c r="K123" s="15"/>
      <c r="L123" s="15">
        <f t="shared" si="4"/>
        <v>0</v>
      </c>
      <c r="M123" s="15">
        <v>17417</v>
      </c>
      <c r="N123" s="15">
        <f t="shared" si="5"/>
        <v>461550500</v>
      </c>
      <c r="O123" s="15" t="str">
        <f>IF(AND(A123='BANG KE NL'!$M$11,TH!C123="NL",LEFT(D123,1)="N"),"x","")</f>
        <v/>
      </c>
    </row>
    <row r="124" spans="1:15" hidden="1">
      <c r="A124" s="24">
        <f t="shared" si="6"/>
        <v>3</v>
      </c>
      <c r="B124" s="176" t="str">
        <f>IF(AND(MONTH(E124)='IN-NX'!$J$5,'IN-NX'!$D$7=(D124&amp;"/"&amp;C124)),"x","")</f>
        <v/>
      </c>
      <c r="C124" s="173" t="s">
        <v>226</v>
      </c>
      <c r="D124" s="173" t="s">
        <v>269</v>
      </c>
      <c r="E124" s="70">
        <v>42084</v>
      </c>
      <c r="F124" s="62" t="s">
        <v>42</v>
      </c>
      <c r="G124" s="19" t="s">
        <v>229</v>
      </c>
      <c r="H124" s="200" t="s">
        <v>97</v>
      </c>
      <c r="I124" s="57" t="s">
        <v>231</v>
      </c>
      <c r="J124" s="15">
        <v>29500</v>
      </c>
      <c r="K124" s="15"/>
      <c r="L124" s="15">
        <f t="shared" si="4"/>
        <v>0</v>
      </c>
      <c r="M124" s="15">
        <v>15509</v>
      </c>
      <c r="N124" s="15">
        <f t="shared" si="5"/>
        <v>457515500</v>
      </c>
      <c r="O124" s="15" t="str">
        <f>IF(AND(A124='BANG KE NL'!$M$11,TH!C124="NL",LEFT(D124,1)="N"),"x","")</f>
        <v/>
      </c>
    </row>
    <row r="125" spans="1:15" s="199" customFormat="1" hidden="1">
      <c r="A125" s="24">
        <f t="shared" si="6"/>
        <v>4</v>
      </c>
      <c r="B125" s="176" t="str">
        <f>IF(AND(MONTH(E125)='IN-NX'!$J$5,'IN-NX'!$D$7=(D125&amp;"/"&amp;C125)),"x","")</f>
        <v/>
      </c>
      <c r="C125" s="173" t="s">
        <v>226</v>
      </c>
      <c r="D125" s="173" t="s">
        <v>214</v>
      </c>
      <c r="E125" s="70">
        <v>42095</v>
      </c>
      <c r="F125" s="62" t="s">
        <v>330</v>
      </c>
      <c r="G125" s="19" t="s">
        <v>169</v>
      </c>
      <c r="H125" s="200" t="s">
        <v>231</v>
      </c>
      <c r="I125" s="57" t="s">
        <v>124</v>
      </c>
      <c r="J125" s="15">
        <v>15500</v>
      </c>
      <c r="K125" s="15">
        <v>5076</v>
      </c>
      <c r="L125" s="15">
        <f t="shared" ref="L125:L157" si="7">ROUND(J125*K125,0)</f>
        <v>78678000</v>
      </c>
      <c r="M125" s="15"/>
      <c r="N125" s="15">
        <f t="shared" ref="N125:N157" si="8">ROUND(J125*M125,0)</f>
        <v>0</v>
      </c>
      <c r="O125" s="15" t="str">
        <f>IF(AND(A125='BANG KE NL'!$M$11,TH!C125="NL",LEFT(D125,1)="N"),"x","")</f>
        <v/>
      </c>
    </row>
    <row r="126" spans="1:15" s="199" customFormat="1" hidden="1">
      <c r="A126" s="24">
        <f t="shared" si="6"/>
        <v>4</v>
      </c>
      <c r="B126" s="176" t="str">
        <f>IF(AND(MONTH(E126)='IN-NX'!$J$5,'IN-NX'!$D$7=(D126&amp;"/"&amp;C126)),"x","")</f>
        <v/>
      </c>
      <c r="C126" s="173" t="s">
        <v>226</v>
      </c>
      <c r="D126" s="173" t="s">
        <v>215</v>
      </c>
      <c r="E126" s="70">
        <v>42095</v>
      </c>
      <c r="F126" s="62" t="s">
        <v>330</v>
      </c>
      <c r="G126" s="19" t="s">
        <v>170</v>
      </c>
      <c r="H126" s="200" t="s">
        <v>231</v>
      </c>
      <c r="I126" s="57" t="s">
        <v>124</v>
      </c>
      <c r="J126" s="15">
        <v>15500</v>
      </c>
      <c r="K126" s="15">
        <v>5860</v>
      </c>
      <c r="L126" s="15">
        <f t="shared" si="7"/>
        <v>90830000</v>
      </c>
      <c r="M126" s="15"/>
      <c r="N126" s="15">
        <f t="shared" si="8"/>
        <v>0</v>
      </c>
      <c r="O126" s="15" t="str">
        <f>IF(AND(A126='BANG KE NL'!$M$11,TH!C126="NL",LEFT(D126,1)="N"),"x","")</f>
        <v/>
      </c>
    </row>
    <row r="127" spans="1:15" s="199" customFormat="1" hidden="1">
      <c r="A127" s="24">
        <f t="shared" si="6"/>
        <v>4</v>
      </c>
      <c r="B127" s="176" t="str">
        <f>IF(AND(MONTH(E127)='IN-NX'!$J$5,'IN-NX'!$D$7=(D127&amp;"/"&amp;C127)),"x","")</f>
        <v/>
      </c>
      <c r="C127" s="173" t="s">
        <v>226</v>
      </c>
      <c r="D127" s="173" t="s">
        <v>216</v>
      </c>
      <c r="E127" s="70">
        <v>42095</v>
      </c>
      <c r="F127" s="62" t="s">
        <v>330</v>
      </c>
      <c r="G127" s="19" t="s">
        <v>171</v>
      </c>
      <c r="H127" s="200" t="s">
        <v>231</v>
      </c>
      <c r="I127" s="57" t="s">
        <v>124</v>
      </c>
      <c r="J127" s="15">
        <v>15500</v>
      </c>
      <c r="K127" s="15">
        <v>5790</v>
      </c>
      <c r="L127" s="15">
        <f t="shared" si="7"/>
        <v>89745000</v>
      </c>
      <c r="M127" s="15"/>
      <c r="N127" s="15">
        <f t="shared" si="8"/>
        <v>0</v>
      </c>
      <c r="O127" s="15" t="str">
        <f>IF(AND(A127='BANG KE NL'!$M$11,TH!C127="NL",LEFT(D127,1)="N"),"x","")</f>
        <v/>
      </c>
    </row>
    <row r="128" spans="1:15" s="199" customFormat="1" hidden="1">
      <c r="A128" s="24">
        <f t="shared" si="6"/>
        <v>4</v>
      </c>
      <c r="B128" s="176" t="str">
        <f>IF(AND(MONTH(E128)='IN-NX'!$J$5,'IN-NX'!$D$7=(D128&amp;"/"&amp;C128)),"x","")</f>
        <v/>
      </c>
      <c r="C128" s="173" t="s">
        <v>226</v>
      </c>
      <c r="D128" s="173" t="s">
        <v>217</v>
      </c>
      <c r="E128" s="70">
        <v>42095</v>
      </c>
      <c r="F128" s="62" t="s">
        <v>330</v>
      </c>
      <c r="G128" s="19" t="s">
        <v>174</v>
      </c>
      <c r="H128" s="200" t="s">
        <v>231</v>
      </c>
      <c r="I128" s="57" t="s">
        <v>124</v>
      </c>
      <c r="J128" s="15">
        <v>15500</v>
      </c>
      <c r="K128" s="15">
        <v>5930</v>
      </c>
      <c r="L128" s="15">
        <f t="shared" si="7"/>
        <v>91915000</v>
      </c>
      <c r="M128" s="15"/>
      <c r="N128" s="15">
        <f t="shared" si="8"/>
        <v>0</v>
      </c>
      <c r="O128" s="15" t="str">
        <f>IF(AND(A128='BANG KE NL'!$M$11,TH!C128="NL",LEFT(D128,1)="N"),"x","")</f>
        <v/>
      </c>
    </row>
    <row r="129" spans="1:15" s="199" customFormat="1" hidden="1">
      <c r="A129" s="24">
        <f t="shared" si="6"/>
        <v>4</v>
      </c>
      <c r="B129" s="176" t="str">
        <f>IF(AND(MONTH(E129)='IN-NX'!$J$5,'IN-NX'!$D$7=(D129&amp;"/"&amp;C129)),"x","")</f>
        <v/>
      </c>
      <c r="C129" s="173" t="s">
        <v>226</v>
      </c>
      <c r="D129" s="173" t="s">
        <v>218</v>
      </c>
      <c r="E129" s="70">
        <v>42101</v>
      </c>
      <c r="F129" s="62" t="s">
        <v>330</v>
      </c>
      <c r="G129" s="19" t="s">
        <v>175</v>
      </c>
      <c r="H129" s="200" t="s">
        <v>231</v>
      </c>
      <c r="I129" s="57" t="s">
        <v>124</v>
      </c>
      <c r="J129" s="15">
        <v>15500</v>
      </c>
      <c r="K129" s="15">
        <v>5073</v>
      </c>
      <c r="L129" s="15">
        <f t="shared" si="7"/>
        <v>78631500</v>
      </c>
      <c r="M129" s="15"/>
      <c r="N129" s="15">
        <f t="shared" si="8"/>
        <v>0</v>
      </c>
      <c r="O129" s="15" t="str">
        <f>IF(AND(A129='BANG KE NL'!$M$11,TH!C129="NL",LEFT(D129,1)="N"),"x","")</f>
        <v/>
      </c>
    </row>
    <row r="130" spans="1:15" s="199" customFormat="1" hidden="1">
      <c r="A130" s="24">
        <f t="shared" si="6"/>
        <v>4</v>
      </c>
      <c r="B130" s="176" t="str">
        <f>IF(AND(MONTH(E130)='IN-NX'!$J$5,'IN-NX'!$D$7=(D130&amp;"/"&amp;C130)),"x","")</f>
        <v/>
      </c>
      <c r="C130" s="173" t="s">
        <v>226</v>
      </c>
      <c r="D130" s="173" t="s">
        <v>219</v>
      </c>
      <c r="E130" s="70">
        <v>42101</v>
      </c>
      <c r="F130" s="62" t="s">
        <v>330</v>
      </c>
      <c r="G130" s="19" t="s">
        <v>176</v>
      </c>
      <c r="H130" s="200" t="s">
        <v>231</v>
      </c>
      <c r="I130" s="57" t="s">
        <v>124</v>
      </c>
      <c r="J130" s="15">
        <v>15500</v>
      </c>
      <c r="K130" s="15">
        <v>5921</v>
      </c>
      <c r="L130" s="15">
        <f t="shared" si="7"/>
        <v>91775500</v>
      </c>
      <c r="M130" s="15"/>
      <c r="N130" s="15">
        <f t="shared" si="8"/>
        <v>0</v>
      </c>
      <c r="O130" s="15" t="str">
        <f>IF(AND(A130='BANG KE NL'!$M$11,TH!C130="NL",LEFT(D130,1)="N"),"x","")</f>
        <v/>
      </c>
    </row>
    <row r="131" spans="1:15" s="199" customFormat="1" hidden="1">
      <c r="A131" s="24">
        <f t="shared" si="6"/>
        <v>4</v>
      </c>
      <c r="B131" s="176" t="str">
        <f>IF(AND(MONTH(E131)='IN-NX'!$J$5,'IN-NX'!$D$7=(D131&amp;"/"&amp;C131)),"x","")</f>
        <v/>
      </c>
      <c r="C131" s="173" t="s">
        <v>226</v>
      </c>
      <c r="D131" s="173" t="s">
        <v>232</v>
      </c>
      <c r="E131" s="70">
        <v>42101</v>
      </c>
      <c r="F131" s="62" t="s">
        <v>330</v>
      </c>
      <c r="G131" s="19" t="s">
        <v>188</v>
      </c>
      <c r="H131" s="200" t="s">
        <v>231</v>
      </c>
      <c r="I131" s="57" t="s">
        <v>124</v>
      </c>
      <c r="J131" s="15">
        <v>15500</v>
      </c>
      <c r="K131" s="15">
        <v>5760</v>
      </c>
      <c r="L131" s="15">
        <f t="shared" si="7"/>
        <v>89280000</v>
      </c>
      <c r="M131" s="15"/>
      <c r="N131" s="15">
        <f t="shared" si="8"/>
        <v>0</v>
      </c>
      <c r="O131" s="15" t="str">
        <f>IF(AND(A131='BANG KE NL'!$M$11,TH!C131="NL",LEFT(D131,1)="N"),"x","")</f>
        <v/>
      </c>
    </row>
    <row r="132" spans="1:15" s="199" customFormat="1" hidden="1">
      <c r="A132" s="24">
        <f t="shared" si="6"/>
        <v>4</v>
      </c>
      <c r="B132" s="176" t="str">
        <f>IF(AND(MONTH(E132)='IN-NX'!$J$5,'IN-NX'!$D$7=(D132&amp;"/"&amp;C132)),"x","")</f>
        <v/>
      </c>
      <c r="C132" s="173" t="s">
        <v>226</v>
      </c>
      <c r="D132" s="173" t="s">
        <v>234</v>
      </c>
      <c r="E132" s="70">
        <v>42101</v>
      </c>
      <c r="F132" s="62" t="s">
        <v>330</v>
      </c>
      <c r="G132" s="19" t="s">
        <v>189</v>
      </c>
      <c r="H132" s="200" t="s">
        <v>231</v>
      </c>
      <c r="I132" s="57" t="s">
        <v>124</v>
      </c>
      <c r="J132" s="15">
        <v>15500</v>
      </c>
      <c r="K132" s="15">
        <v>5830</v>
      </c>
      <c r="L132" s="15">
        <f t="shared" si="7"/>
        <v>90365000</v>
      </c>
      <c r="M132" s="15"/>
      <c r="N132" s="15">
        <f t="shared" si="8"/>
        <v>0</v>
      </c>
      <c r="O132" s="15" t="str">
        <f>IF(AND(A132='BANG KE NL'!$M$11,TH!C132="NL",LEFT(D132,1)="N"),"x","")</f>
        <v/>
      </c>
    </row>
    <row r="133" spans="1:15" s="199" customFormat="1" hidden="1">
      <c r="A133" s="24">
        <f t="shared" si="6"/>
        <v>4</v>
      </c>
      <c r="B133" s="176" t="str">
        <f>IF(AND(MONTH(E133)='IN-NX'!$J$5,'IN-NX'!$D$7=(D133&amp;"/"&amp;C133)),"x","")</f>
        <v/>
      </c>
      <c r="C133" s="173" t="s">
        <v>226</v>
      </c>
      <c r="D133" s="173" t="s">
        <v>235</v>
      </c>
      <c r="E133" s="70">
        <v>42104</v>
      </c>
      <c r="F133" s="62" t="s">
        <v>330</v>
      </c>
      <c r="G133" s="19" t="s">
        <v>182</v>
      </c>
      <c r="H133" s="200" t="s">
        <v>231</v>
      </c>
      <c r="I133" s="57" t="s">
        <v>124</v>
      </c>
      <c r="J133" s="15">
        <v>15500</v>
      </c>
      <c r="K133" s="15">
        <v>5870</v>
      </c>
      <c r="L133" s="15">
        <f t="shared" si="7"/>
        <v>90985000</v>
      </c>
      <c r="M133" s="15"/>
      <c r="N133" s="15">
        <f t="shared" si="8"/>
        <v>0</v>
      </c>
      <c r="O133" s="15" t="str">
        <f>IF(AND(A133='BANG KE NL'!$M$11,TH!C133="NL",LEFT(D133,1)="N"),"x","")</f>
        <v/>
      </c>
    </row>
    <row r="134" spans="1:15" s="199" customFormat="1" hidden="1">
      <c r="A134" s="24">
        <f t="shared" ref="A134:A197" si="9">IF(E134&lt;&gt;"",MONTH(E134),"")</f>
        <v>4</v>
      </c>
      <c r="B134" s="176" t="str">
        <f>IF(AND(MONTH(E134)='IN-NX'!$J$5,'IN-NX'!$D$7=(D134&amp;"/"&amp;C134)),"x","")</f>
        <v/>
      </c>
      <c r="C134" s="173" t="s">
        <v>226</v>
      </c>
      <c r="D134" s="173" t="s">
        <v>236</v>
      </c>
      <c r="E134" s="70">
        <v>42104</v>
      </c>
      <c r="F134" s="62" t="s">
        <v>330</v>
      </c>
      <c r="G134" s="19" t="s">
        <v>204</v>
      </c>
      <c r="H134" s="200" t="s">
        <v>231</v>
      </c>
      <c r="I134" s="57" t="s">
        <v>124</v>
      </c>
      <c r="J134" s="15">
        <v>15500</v>
      </c>
      <c r="K134" s="15">
        <v>5934</v>
      </c>
      <c r="L134" s="15">
        <f t="shared" si="7"/>
        <v>91977000</v>
      </c>
      <c r="M134" s="15"/>
      <c r="N134" s="15">
        <f t="shared" si="8"/>
        <v>0</v>
      </c>
      <c r="O134" s="15" t="str">
        <f>IF(AND(A134='BANG KE NL'!$M$11,TH!C134="NL",LEFT(D134,1)="N"),"x","")</f>
        <v/>
      </c>
    </row>
    <row r="135" spans="1:15" s="199" customFormat="1" hidden="1">
      <c r="A135" s="24">
        <f t="shared" si="9"/>
        <v>4</v>
      </c>
      <c r="B135" s="176" t="str">
        <f>IF(AND(MONTH(E135)='IN-NX'!$J$5,'IN-NX'!$D$7=(D135&amp;"/"&amp;C135)),"x","")</f>
        <v/>
      </c>
      <c r="C135" s="173" t="s">
        <v>226</v>
      </c>
      <c r="D135" s="173" t="s">
        <v>237</v>
      </c>
      <c r="E135" s="70">
        <v>42104</v>
      </c>
      <c r="F135" s="62" t="s">
        <v>330</v>
      </c>
      <c r="G135" s="19" t="s">
        <v>205</v>
      </c>
      <c r="H135" s="200" t="s">
        <v>231</v>
      </c>
      <c r="I135" s="57" t="s">
        <v>124</v>
      </c>
      <c r="J135" s="15">
        <v>15500</v>
      </c>
      <c r="K135" s="15">
        <v>5710</v>
      </c>
      <c r="L135" s="15">
        <f t="shared" si="7"/>
        <v>88505000</v>
      </c>
      <c r="M135" s="15"/>
      <c r="N135" s="15">
        <f t="shared" si="8"/>
        <v>0</v>
      </c>
      <c r="O135" s="15" t="str">
        <f>IF(AND(A135='BANG KE NL'!$M$11,TH!C135="NL",LEFT(D135,1)="N"),"x","")</f>
        <v/>
      </c>
    </row>
    <row r="136" spans="1:15" s="199" customFormat="1" hidden="1">
      <c r="A136" s="24">
        <f t="shared" si="9"/>
        <v>4</v>
      </c>
      <c r="B136" s="176" t="str">
        <f>IF(AND(MONTH(E136)='IN-NX'!$J$5,'IN-NX'!$D$7=(D136&amp;"/"&amp;C136)),"x","")</f>
        <v/>
      </c>
      <c r="C136" s="173" t="s">
        <v>226</v>
      </c>
      <c r="D136" s="173" t="s">
        <v>238</v>
      </c>
      <c r="E136" s="70">
        <v>42104</v>
      </c>
      <c r="F136" s="62" t="s">
        <v>330</v>
      </c>
      <c r="G136" s="19" t="s">
        <v>206</v>
      </c>
      <c r="H136" s="200" t="s">
        <v>231</v>
      </c>
      <c r="I136" s="57" t="s">
        <v>124</v>
      </c>
      <c r="J136" s="15">
        <v>15500</v>
      </c>
      <c r="K136" s="15">
        <v>5879</v>
      </c>
      <c r="L136" s="15">
        <f t="shared" si="7"/>
        <v>91124500</v>
      </c>
      <c r="M136" s="15"/>
      <c r="N136" s="15">
        <f t="shared" si="8"/>
        <v>0</v>
      </c>
      <c r="O136" s="15" t="str">
        <f>IF(AND(A136='BANG KE NL'!$M$11,TH!C136="NL",LEFT(D136,1)="N"),"x","")</f>
        <v/>
      </c>
    </row>
    <row r="137" spans="1:15" s="199" customFormat="1" hidden="1">
      <c r="A137" s="24">
        <f t="shared" si="9"/>
        <v>4</v>
      </c>
      <c r="B137" s="176" t="str">
        <f>IF(AND(MONTH(E137)='IN-NX'!$J$5,'IN-NX'!$D$7=(D137&amp;"/"&amp;C137)),"x","")</f>
        <v/>
      </c>
      <c r="C137" s="173" t="s">
        <v>226</v>
      </c>
      <c r="D137" s="173" t="s">
        <v>239</v>
      </c>
      <c r="E137" s="70">
        <v>42105</v>
      </c>
      <c r="F137" s="62" t="s">
        <v>68</v>
      </c>
      <c r="G137" s="19" t="s">
        <v>174</v>
      </c>
      <c r="H137" s="200" t="s">
        <v>231</v>
      </c>
      <c r="I137" s="57" t="s">
        <v>124</v>
      </c>
      <c r="J137" s="15">
        <v>17000</v>
      </c>
      <c r="K137" s="15">
        <v>5983</v>
      </c>
      <c r="L137" s="15">
        <f t="shared" si="7"/>
        <v>101711000</v>
      </c>
      <c r="M137" s="15"/>
      <c r="N137" s="15">
        <f t="shared" si="8"/>
        <v>0</v>
      </c>
      <c r="O137" s="15" t="str">
        <f>IF(AND(A137='BANG KE NL'!$M$11,TH!C137="NL",LEFT(D137,1)="N"),"x","")</f>
        <v/>
      </c>
    </row>
    <row r="138" spans="1:15" s="199" customFormat="1" hidden="1">
      <c r="A138" s="24">
        <f t="shared" si="9"/>
        <v>4</v>
      </c>
      <c r="B138" s="176" t="str">
        <f>IF(AND(MONTH(E138)='IN-NX'!$J$5,'IN-NX'!$D$7=(D138&amp;"/"&amp;C138)),"x","")</f>
        <v/>
      </c>
      <c r="C138" s="173" t="s">
        <v>226</v>
      </c>
      <c r="D138" s="173" t="s">
        <v>240</v>
      </c>
      <c r="E138" s="70">
        <v>42105</v>
      </c>
      <c r="F138" s="62" t="s">
        <v>68</v>
      </c>
      <c r="G138" s="19" t="s">
        <v>175</v>
      </c>
      <c r="H138" s="200" t="s">
        <v>231</v>
      </c>
      <c r="I138" s="57" t="s">
        <v>124</v>
      </c>
      <c r="J138" s="15">
        <v>17000</v>
      </c>
      <c r="K138" s="15">
        <v>6173</v>
      </c>
      <c r="L138" s="15">
        <f t="shared" si="7"/>
        <v>104941000</v>
      </c>
      <c r="M138" s="15"/>
      <c r="N138" s="15">
        <f t="shared" si="8"/>
        <v>0</v>
      </c>
      <c r="O138" s="15" t="str">
        <f>IF(AND(A138='BANG KE NL'!$M$11,TH!C138="NL",LEFT(D138,1)="N"),"x","")</f>
        <v/>
      </c>
    </row>
    <row r="139" spans="1:15" s="199" customFormat="1" hidden="1">
      <c r="A139" s="24">
        <f t="shared" si="9"/>
        <v>4</v>
      </c>
      <c r="B139" s="176" t="str">
        <f>IF(AND(MONTH(E139)='IN-NX'!$J$5,'IN-NX'!$D$7=(D139&amp;"/"&amp;C139)),"x","")</f>
        <v/>
      </c>
      <c r="C139" s="173" t="s">
        <v>226</v>
      </c>
      <c r="D139" s="173" t="s">
        <v>241</v>
      </c>
      <c r="E139" s="70">
        <v>42105</v>
      </c>
      <c r="F139" s="62" t="s">
        <v>68</v>
      </c>
      <c r="G139" s="19" t="s">
        <v>176</v>
      </c>
      <c r="H139" s="200" t="s">
        <v>231</v>
      </c>
      <c r="I139" s="57" t="s">
        <v>124</v>
      </c>
      <c r="J139" s="15">
        <v>17000</v>
      </c>
      <c r="K139" s="15">
        <v>5930</v>
      </c>
      <c r="L139" s="15">
        <f t="shared" si="7"/>
        <v>100810000</v>
      </c>
      <c r="M139" s="15"/>
      <c r="N139" s="15">
        <f t="shared" si="8"/>
        <v>0</v>
      </c>
      <c r="O139" s="15" t="str">
        <f>IF(AND(A139='BANG KE NL'!$M$11,TH!C139="NL",LEFT(D139,1)="N"),"x","")</f>
        <v/>
      </c>
    </row>
    <row r="140" spans="1:15" s="199" customFormat="1" hidden="1">
      <c r="A140" s="24">
        <f t="shared" si="9"/>
        <v>4</v>
      </c>
      <c r="B140" s="176" t="str">
        <f>IF(AND(MONTH(E140)='IN-NX'!$J$5,'IN-NX'!$D$7=(D140&amp;"/"&amp;C140)),"x","")</f>
        <v/>
      </c>
      <c r="C140" s="173" t="s">
        <v>226</v>
      </c>
      <c r="D140" s="173" t="s">
        <v>242</v>
      </c>
      <c r="E140" s="70">
        <v>42109</v>
      </c>
      <c r="F140" s="62" t="s">
        <v>330</v>
      </c>
      <c r="G140" s="19" t="s">
        <v>175</v>
      </c>
      <c r="H140" s="200" t="s">
        <v>231</v>
      </c>
      <c r="I140" s="57" t="s">
        <v>124</v>
      </c>
      <c r="J140" s="15">
        <v>15500</v>
      </c>
      <c r="K140" s="15">
        <v>5973</v>
      </c>
      <c r="L140" s="15">
        <f t="shared" si="7"/>
        <v>92581500</v>
      </c>
      <c r="M140" s="15"/>
      <c r="N140" s="15">
        <f t="shared" si="8"/>
        <v>0</v>
      </c>
      <c r="O140" s="15" t="str">
        <f>IF(AND(A140='BANG KE NL'!$M$11,TH!C140="NL",LEFT(D140,1)="N"),"x","")</f>
        <v/>
      </c>
    </row>
    <row r="141" spans="1:15" s="199" customFormat="1" hidden="1">
      <c r="A141" s="24">
        <f t="shared" si="9"/>
        <v>4</v>
      </c>
      <c r="B141" s="176" t="str">
        <f>IF(AND(MONTH(E141)='IN-NX'!$J$5,'IN-NX'!$D$7=(D141&amp;"/"&amp;C141)),"x","")</f>
        <v/>
      </c>
      <c r="C141" s="173" t="s">
        <v>226</v>
      </c>
      <c r="D141" s="173" t="s">
        <v>243</v>
      </c>
      <c r="E141" s="70">
        <v>42109</v>
      </c>
      <c r="F141" s="62" t="s">
        <v>330</v>
      </c>
      <c r="G141" s="19" t="s">
        <v>176</v>
      </c>
      <c r="H141" s="200" t="s">
        <v>231</v>
      </c>
      <c r="I141" s="57" t="s">
        <v>124</v>
      </c>
      <c r="J141" s="15">
        <v>15500</v>
      </c>
      <c r="K141" s="15">
        <v>5830</v>
      </c>
      <c r="L141" s="15">
        <f t="shared" si="7"/>
        <v>90365000</v>
      </c>
      <c r="M141" s="15"/>
      <c r="N141" s="15">
        <f t="shared" si="8"/>
        <v>0</v>
      </c>
      <c r="O141" s="15" t="str">
        <f>IF(AND(A141='BANG KE NL'!$M$11,TH!C141="NL",LEFT(D141,1)="N"),"x","")</f>
        <v/>
      </c>
    </row>
    <row r="142" spans="1:15" s="199" customFormat="1" hidden="1">
      <c r="A142" s="24">
        <f t="shared" si="9"/>
        <v>4</v>
      </c>
      <c r="B142" s="176" t="str">
        <f>IF(AND(MONTH(E142)='IN-NX'!$J$5,'IN-NX'!$D$7=(D142&amp;"/"&amp;C142)),"x","")</f>
        <v/>
      </c>
      <c r="C142" s="173" t="s">
        <v>226</v>
      </c>
      <c r="D142" s="173" t="s">
        <v>244</v>
      </c>
      <c r="E142" s="70">
        <v>42109</v>
      </c>
      <c r="F142" s="62" t="s">
        <v>330</v>
      </c>
      <c r="G142" s="19" t="s">
        <v>188</v>
      </c>
      <c r="H142" s="200" t="s">
        <v>231</v>
      </c>
      <c r="I142" s="57" t="s">
        <v>124</v>
      </c>
      <c r="J142" s="15">
        <v>15500</v>
      </c>
      <c r="K142" s="15">
        <v>5930</v>
      </c>
      <c r="L142" s="15">
        <f t="shared" si="7"/>
        <v>91915000</v>
      </c>
      <c r="M142" s="15"/>
      <c r="N142" s="15">
        <f t="shared" si="8"/>
        <v>0</v>
      </c>
      <c r="O142" s="15" t="str">
        <f>IF(AND(A142='BANG KE NL'!$M$11,TH!C142="NL",LEFT(D142,1)="N"),"x","")</f>
        <v/>
      </c>
    </row>
    <row r="143" spans="1:15" s="199" customFormat="1" hidden="1">
      <c r="A143" s="24">
        <f t="shared" si="9"/>
        <v>4</v>
      </c>
      <c r="B143" s="176" t="str">
        <f>IF(AND(MONTH(E143)='IN-NX'!$J$5,'IN-NX'!$D$7=(D143&amp;"/"&amp;C143)),"x","")</f>
        <v/>
      </c>
      <c r="C143" s="173" t="s">
        <v>226</v>
      </c>
      <c r="D143" s="173" t="s">
        <v>245</v>
      </c>
      <c r="E143" s="70">
        <v>42111</v>
      </c>
      <c r="F143" s="62" t="s">
        <v>68</v>
      </c>
      <c r="G143" s="19" t="s">
        <v>178</v>
      </c>
      <c r="H143" s="200" t="s">
        <v>231</v>
      </c>
      <c r="I143" s="57" t="s">
        <v>124</v>
      </c>
      <c r="J143" s="15">
        <v>17000</v>
      </c>
      <c r="K143" s="15">
        <v>6430</v>
      </c>
      <c r="L143" s="15">
        <f t="shared" si="7"/>
        <v>109310000</v>
      </c>
      <c r="M143" s="15"/>
      <c r="N143" s="15">
        <f t="shared" si="8"/>
        <v>0</v>
      </c>
      <c r="O143" s="15" t="str">
        <f>IF(AND(A143='BANG KE NL'!$M$11,TH!C143="NL",LEFT(D143,1)="N"),"x","")</f>
        <v/>
      </c>
    </row>
    <row r="144" spans="1:15" s="199" customFormat="1" hidden="1">
      <c r="A144" s="24">
        <f t="shared" si="9"/>
        <v>4</v>
      </c>
      <c r="B144" s="176" t="str">
        <f>IF(AND(MONTH(E144)='IN-NX'!$J$5,'IN-NX'!$D$7=(D144&amp;"/"&amp;C144)),"x","")</f>
        <v/>
      </c>
      <c r="C144" s="173" t="s">
        <v>226</v>
      </c>
      <c r="D144" s="173" t="s">
        <v>246</v>
      </c>
      <c r="E144" s="70">
        <v>42111</v>
      </c>
      <c r="F144" s="62" t="s">
        <v>68</v>
      </c>
      <c r="G144" s="19" t="s">
        <v>175</v>
      </c>
      <c r="H144" s="200" t="s">
        <v>231</v>
      </c>
      <c r="I144" s="57" t="s">
        <v>124</v>
      </c>
      <c r="J144" s="15">
        <v>17000</v>
      </c>
      <c r="K144" s="15">
        <v>5730</v>
      </c>
      <c r="L144" s="15">
        <f t="shared" si="7"/>
        <v>97410000</v>
      </c>
      <c r="M144" s="15"/>
      <c r="N144" s="15">
        <f t="shared" si="8"/>
        <v>0</v>
      </c>
      <c r="O144" s="15" t="str">
        <f>IF(AND(A144='BANG KE NL'!$M$11,TH!C144="NL",LEFT(D144,1)="N"),"x","")</f>
        <v/>
      </c>
    </row>
    <row r="145" spans="1:15" s="199" customFormat="1" hidden="1">
      <c r="A145" s="24">
        <f t="shared" si="9"/>
        <v>4</v>
      </c>
      <c r="B145" s="176" t="str">
        <f>IF(AND(MONTH(E145)='IN-NX'!$J$5,'IN-NX'!$D$7=(D145&amp;"/"&amp;C145)),"x","")</f>
        <v/>
      </c>
      <c r="C145" s="173" t="s">
        <v>226</v>
      </c>
      <c r="D145" s="173" t="s">
        <v>247</v>
      </c>
      <c r="E145" s="70">
        <v>42112</v>
      </c>
      <c r="F145" s="62" t="s">
        <v>330</v>
      </c>
      <c r="G145" s="19" t="s">
        <v>182</v>
      </c>
      <c r="H145" s="200" t="s">
        <v>231</v>
      </c>
      <c r="I145" s="57" t="s">
        <v>124</v>
      </c>
      <c r="J145" s="15">
        <v>15500</v>
      </c>
      <c r="K145" s="15">
        <v>5947</v>
      </c>
      <c r="L145" s="15">
        <f t="shared" si="7"/>
        <v>92178500</v>
      </c>
      <c r="M145" s="15"/>
      <c r="N145" s="15">
        <f t="shared" si="8"/>
        <v>0</v>
      </c>
      <c r="O145" s="15" t="str">
        <f>IF(AND(A145='BANG KE NL'!$M$11,TH!C145="NL",LEFT(D145,1)="N"),"x","")</f>
        <v/>
      </c>
    </row>
    <row r="146" spans="1:15" s="199" customFormat="1" hidden="1">
      <c r="A146" s="24">
        <f t="shared" si="9"/>
        <v>4</v>
      </c>
      <c r="B146" s="176" t="str">
        <f>IF(AND(MONTH(E146)='IN-NX'!$J$5,'IN-NX'!$D$7=(D146&amp;"/"&amp;C146)),"x","")</f>
        <v/>
      </c>
      <c r="C146" s="173" t="s">
        <v>226</v>
      </c>
      <c r="D146" s="173" t="s">
        <v>248</v>
      </c>
      <c r="E146" s="70">
        <v>42112</v>
      </c>
      <c r="F146" s="62" t="s">
        <v>330</v>
      </c>
      <c r="G146" s="19" t="s">
        <v>204</v>
      </c>
      <c r="H146" s="200" t="s">
        <v>231</v>
      </c>
      <c r="I146" s="57" t="s">
        <v>124</v>
      </c>
      <c r="J146" s="15">
        <v>15500</v>
      </c>
      <c r="K146" s="15">
        <f>5860-1151</f>
        <v>4709</v>
      </c>
      <c r="L146" s="15">
        <f t="shared" si="7"/>
        <v>72989500</v>
      </c>
      <c r="M146" s="15"/>
      <c r="N146" s="15">
        <f t="shared" si="8"/>
        <v>0</v>
      </c>
      <c r="O146" s="15" t="str">
        <f>IF(AND(A146='BANG KE NL'!$M$11,TH!C146="NL",LEFT(D146,1)="N"),"x","")</f>
        <v/>
      </c>
    </row>
    <row r="147" spans="1:15" s="199" customFormat="1" hidden="1">
      <c r="A147" s="24">
        <f t="shared" si="9"/>
        <v>4</v>
      </c>
      <c r="B147" s="176" t="str">
        <f>IF(AND(MONTH(E147)='IN-NX'!$J$5,'IN-NX'!$D$7=(D147&amp;"/"&amp;C147)),"x","")</f>
        <v/>
      </c>
      <c r="C147" s="173" t="s">
        <v>226</v>
      </c>
      <c r="D147" s="173" t="s">
        <v>249</v>
      </c>
      <c r="E147" s="70">
        <v>42112</v>
      </c>
      <c r="F147" s="62" t="s">
        <v>330</v>
      </c>
      <c r="G147" s="19" t="s">
        <v>205</v>
      </c>
      <c r="H147" s="200" t="s">
        <v>231</v>
      </c>
      <c r="I147" s="57" t="s">
        <v>124</v>
      </c>
      <c r="J147" s="15">
        <v>15500</v>
      </c>
      <c r="K147" s="15">
        <f>6545-1173-1150</f>
        <v>4222</v>
      </c>
      <c r="L147" s="15">
        <f t="shared" si="7"/>
        <v>65441000</v>
      </c>
      <c r="M147" s="15"/>
      <c r="N147" s="15">
        <f t="shared" si="8"/>
        <v>0</v>
      </c>
      <c r="O147" s="15" t="str">
        <f>IF(AND(A147='BANG KE NL'!$M$11,TH!C147="NL",LEFT(D147,1)="N"),"x","")</f>
        <v/>
      </c>
    </row>
    <row r="148" spans="1:15" s="199" customFormat="1" hidden="1">
      <c r="A148" s="24">
        <f t="shared" si="9"/>
        <v>4</v>
      </c>
      <c r="B148" s="176" t="str">
        <f>IF(AND(MONTH(E148)='IN-NX'!$J$5,'IN-NX'!$D$7=(D148&amp;"/"&amp;C148)),"x","")</f>
        <v/>
      </c>
      <c r="C148" s="173" t="s">
        <v>226</v>
      </c>
      <c r="D148" s="173" t="s">
        <v>250</v>
      </c>
      <c r="E148" s="70">
        <v>42115</v>
      </c>
      <c r="F148" s="62" t="s">
        <v>68</v>
      </c>
      <c r="G148" s="19" t="s">
        <v>178</v>
      </c>
      <c r="H148" s="200" t="s">
        <v>231</v>
      </c>
      <c r="I148" s="57" t="s">
        <v>124</v>
      </c>
      <c r="J148" s="15">
        <v>17000</v>
      </c>
      <c r="K148" s="15">
        <v>6520</v>
      </c>
      <c r="L148" s="15">
        <f t="shared" si="7"/>
        <v>110840000</v>
      </c>
      <c r="M148" s="15"/>
      <c r="N148" s="15">
        <f t="shared" si="8"/>
        <v>0</v>
      </c>
      <c r="O148" s="15" t="str">
        <f>IF(AND(A148='BANG KE NL'!$M$11,TH!C148="NL",LEFT(D148,1)="N"),"x","")</f>
        <v/>
      </c>
    </row>
    <row r="149" spans="1:15" s="199" customFormat="1" hidden="1">
      <c r="A149" s="24">
        <f t="shared" si="9"/>
        <v>4</v>
      </c>
      <c r="B149" s="176" t="str">
        <f>IF(AND(MONTH(E149)='IN-NX'!$J$5,'IN-NX'!$D$7=(D149&amp;"/"&amp;C149)),"x","")</f>
        <v/>
      </c>
      <c r="C149" s="173" t="s">
        <v>226</v>
      </c>
      <c r="D149" s="173" t="s">
        <v>251</v>
      </c>
      <c r="E149" s="70">
        <v>42115</v>
      </c>
      <c r="F149" s="62" t="s">
        <v>68</v>
      </c>
      <c r="G149" s="19" t="s">
        <v>174</v>
      </c>
      <c r="H149" s="200" t="s">
        <v>231</v>
      </c>
      <c r="I149" s="57" t="s">
        <v>124</v>
      </c>
      <c r="J149" s="15">
        <v>17000</v>
      </c>
      <c r="K149" s="15">
        <v>6434</v>
      </c>
      <c r="L149" s="15">
        <f t="shared" si="7"/>
        <v>109378000</v>
      </c>
      <c r="M149" s="15"/>
      <c r="N149" s="15">
        <f t="shared" si="8"/>
        <v>0</v>
      </c>
      <c r="O149" s="15" t="str">
        <f>IF(AND(A149='BANG KE NL'!$M$11,TH!C149="NL",LEFT(D149,1)="N"),"x","")</f>
        <v/>
      </c>
    </row>
    <row r="150" spans="1:15" s="199" customFormat="1" hidden="1">
      <c r="A150" s="24">
        <f t="shared" si="9"/>
        <v>4</v>
      </c>
      <c r="B150" s="176" t="str">
        <f>IF(AND(MONTH(E150)='IN-NX'!$J$5,'IN-NX'!$D$7=(D150&amp;"/"&amp;C150)),"x","")</f>
        <v/>
      </c>
      <c r="C150" s="173" t="s">
        <v>226</v>
      </c>
      <c r="D150" s="173" t="s">
        <v>220</v>
      </c>
      <c r="E150" s="70">
        <v>42095</v>
      </c>
      <c r="F150" s="62" t="s">
        <v>330</v>
      </c>
      <c r="G150" s="19" t="s">
        <v>229</v>
      </c>
      <c r="H150" s="200" t="s">
        <v>97</v>
      </c>
      <c r="I150" s="57" t="s">
        <v>231</v>
      </c>
      <c r="J150" s="15">
        <v>15500</v>
      </c>
      <c r="K150" s="15"/>
      <c r="L150" s="15">
        <f t="shared" si="7"/>
        <v>0</v>
      </c>
      <c r="M150" s="15">
        <v>22656</v>
      </c>
      <c r="N150" s="15">
        <f t="shared" si="8"/>
        <v>351168000</v>
      </c>
      <c r="O150" s="15" t="str">
        <f>IF(AND(A150='BANG KE NL'!$M$11,TH!C150="NL",LEFT(D150,1)="N"),"x","")</f>
        <v/>
      </c>
    </row>
    <row r="151" spans="1:15" s="199" customFormat="1" hidden="1">
      <c r="A151" s="24">
        <f t="shared" si="9"/>
        <v>4</v>
      </c>
      <c r="B151" s="176" t="str">
        <f>IF(AND(MONTH(E151)='IN-NX'!$J$5,'IN-NX'!$D$7=(D151&amp;"/"&amp;C151)),"x","")</f>
        <v/>
      </c>
      <c r="C151" s="173" t="s">
        <v>226</v>
      </c>
      <c r="D151" s="173" t="s">
        <v>221</v>
      </c>
      <c r="E151" s="70">
        <v>42101</v>
      </c>
      <c r="F151" s="62" t="s">
        <v>330</v>
      </c>
      <c r="G151" s="19" t="s">
        <v>229</v>
      </c>
      <c r="H151" s="200" t="s">
        <v>97</v>
      </c>
      <c r="I151" s="57" t="s">
        <v>231</v>
      </c>
      <c r="J151" s="15">
        <v>15500</v>
      </c>
      <c r="K151" s="15"/>
      <c r="L151" s="15">
        <f t="shared" si="7"/>
        <v>0</v>
      </c>
      <c r="M151" s="15">
        <v>22584</v>
      </c>
      <c r="N151" s="15">
        <f t="shared" si="8"/>
        <v>350052000</v>
      </c>
      <c r="O151" s="15" t="str">
        <f>IF(AND(A151='BANG KE NL'!$M$11,TH!C151="NL",LEFT(D151,1)="N"),"x","")</f>
        <v/>
      </c>
    </row>
    <row r="152" spans="1:15" s="199" customFormat="1" hidden="1">
      <c r="A152" s="24">
        <f t="shared" si="9"/>
        <v>4</v>
      </c>
      <c r="B152" s="176" t="str">
        <f>IF(AND(MONTH(E152)='IN-NX'!$J$5,'IN-NX'!$D$7=(D152&amp;"/"&amp;C152)),"x","")</f>
        <v/>
      </c>
      <c r="C152" s="173" t="s">
        <v>226</v>
      </c>
      <c r="D152" s="173" t="s">
        <v>222</v>
      </c>
      <c r="E152" s="70">
        <v>42104</v>
      </c>
      <c r="F152" s="62" t="s">
        <v>330</v>
      </c>
      <c r="G152" s="19" t="s">
        <v>229</v>
      </c>
      <c r="H152" s="200" t="s">
        <v>97</v>
      </c>
      <c r="I152" s="57" t="s">
        <v>231</v>
      </c>
      <c r="J152" s="15">
        <v>15500</v>
      </c>
      <c r="K152" s="15"/>
      <c r="L152" s="15">
        <f t="shared" si="7"/>
        <v>0</v>
      </c>
      <c r="M152" s="15">
        <v>23393</v>
      </c>
      <c r="N152" s="15">
        <f t="shared" si="8"/>
        <v>362591500</v>
      </c>
      <c r="O152" s="15" t="str">
        <f>IF(AND(A152='BANG KE NL'!$M$11,TH!C152="NL",LEFT(D152,1)="N"),"x","")</f>
        <v/>
      </c>
    </row>
    <row r="153" spans="1:15" s="199" customFormat="1" hidden="1">
      <c r="A153" s="24">
        <f t="shared" si="9"/>
        <v>4</v>
      </c>
      <c r="B153" s="176" t="str">
        <f>IF(AND(MONTH(E153)='IN-NX'!$J$5,'IN-NX'!$D$7=(D153&amp;"/"&amp;C153)),"x","")</f>
        <v/>
      </c>
      <c r="C153" s="173" t="s">
        <v>226</v>
      </c>
      <c r="D153" s="173" t="s">
        <v>223</v>
      </c>
      <c r="E153" s="70">
        <v>42105</v>
      </c>
      <c r="F153" s="62" t="s">
        <v>68</v>
      </c>
      <c r="G153" s="19" t="s">
        <v>229</v>
      </c>
      <c r="H153" s="200" t="s">
        <v>97</v>
      </c>
      <c r="I153" s="57" t="s">
        <v>231</v>
      </c>
      <c r="J153" s="15">
        <v>17000</v>
      </c>
      <c r="K153" s="15"/>
      <c r="L153" s="15">
        <f t="shared" si="7"/>
        <v>0</v>
      </c>
      <c r="M153" s="15">
        <v>18086</v>
      </c>
      <c r="N153" s="15">
        <f t="shared" si="8"/>
        <v>307462000</v>
      </c>
      <c r="O153" s="15" t="str">
        <f>IF(AND(A153='BANG KE NL'!$M$11,TH!C153="NL",LEFT(D153,1)="N"),"x","")</f>
        <v/>
      </c>
    </row>
    <row r="154" spans="1:15" s="199" customFormat="1" hidden="1">
      <c r="A154" s="24">
        <f t="shared" si="9"/>
        <v>4</v>
      </c>
      <c r="B154" s="176" t="str">
        <f>IF(AND(MONTH(E154)='IN-NX'!$J$5,'IN-NX'!$D$7=(D154&amp;"/"&amp;C154)),"x","")</f>
        <v/>
      </c>
      <c r="C154" s="173" t="s">
        <v>226</v>
      </c>
      <c r="D154" s="173" t="s">
        <v>230</v>
      </c>
      <c r="E154" s="70">
        <v>42109</v>
      </c>
      <c r="F154" s="62" t="s">
        <v>330</v>
      </c>
      <c r="G154" s="19" t="s">
        <v>229</v>
      </c>
      <c r="H154" s="200" t="s">
        <v>97</v>
      </c>
      <c r="I154" s="57" t="s">
        <v>231</v>
      </c>
      <c r="J154" s="15">
        <v>15500</v>
      </c>
      <c r="K154" s="15"/>
      <c r="L154" s="15">
        <f t="shared" si="7"/>
        <v>0</v>
      </c>
      <c r="M154" s="15">
        <v>17733</v>
      </c>
      <c r="N154" s="15">
        <f t="shared" si="8"/>
        <v>274861500</v>
      </c>
      <c r="O154" s="15" t="str">
        <f>IF(AND(A154='BANG KE NL'!$M$11,TH!C154="NL",LEFT(D154,1)="N"),"x","")</f>
        <v/>
      </c>
    </row>
    <row r="155" spans="1:15" s="199" customFormat="1" hidden="1">
      <c r="A155" s="24">
        <f t="shared" si="9"/>
        <v>4</v>
      </c>
      <c r="B155" s="176" t="str">
        <f>IF(AND(MONTH(E155)='IN-NX'!$J$5,'IN-NX'!$D$7=(D155&amp;"/"&amp;C155)),"x","")</f>
        <v/>
      </c>
      <c r="C155" s="173" t="s">
        <v>226</v>
      </c>
      <c r="D155" s="173" t="s">
        <v>268</v>
      </c>
      <c r="E155" s="70">
        <v>42111</v>
      </c>
      <c r="F155" s="62" t="s">
        <v>68</v>
      </c>
      <c r="G155" s="19" t="s">
        <v>229</v>
      </c>
      <c r="H155" s="200" t="s">
        <v>97</v>
      </c>
      <c r="I155" s="57" t="s">
        <v>231</v>
      </c>
      <c r="J155" s="15">
        <v>17000</v>
      </c>
      <c r="K155" s="15"/>
      <c r="L155" s="15">
        <f t="shared" si="7"/>
        <v>0</v>
      </c>
      <c r="M155" s="15">
        <v>12160</v>
      </c>
      <c r="N155" s="15">
        <f t="shared" si="8"/>
        <v>206720000</v>
      </c>
      <c r="O155" s="15" t="str">
        <f>IF(AND(A155='BANG KE NL'!$M$11,TH!C155="NL",LEFT(D155,1)="N"),"x","")</f>
        <v/>
      </c>
    </row>
    <row r="156" spans="1:15" s="199" customFormat="1" hidden="1">
      <c r="A156" s="24">
        <f t="shared" si="9"/>
        <v>4</v>
      </c>
      <c r="B156" s="176" t="str">
        <f>IF(AND(MONTH(E156)='IN-NX'!$J$5,'IN-NX'!$D$7=(D156&amp;"/"&amp;C156)),"x","")</f>
        <v/>
      </c>
      <c r="C156" s="173" t="s">
        <v>226</v>
      </c>
      <c r="D156" s="173" t="s">
        <v>269</v>
      </c>
      <c r="E156" s="70">
        <v>42112</v>
      </c>
      <c r="F156" s="62" t="s">
        <v>330</v>
      </c>
      <c r="G156" s="19" t="s">
        <v>229</v>
      </c>
      <c r="H156" s="200" t="s">
        <v>97</v>
      </c>
      <c r="I156" s="57" t="s">
        <v>231</v>
      </c>
      <c r="J156" s="15">
        <v>15500</v>
      </c>
      <c r="K156" s="15"/>
      <c r="L156" s="15">
        <f t="shared" si="7"/>
        <v>0</v>
      </c>
      <c r="M156" s="15">
        <f>17179-2301</f>
        <v>14878</v>
      </c>
      <c r="N156" s="15">
        <f t="shared" si="8"/>
        <v>230609000</v>
      </c>
      <c r="O156" s="15" t="str">
        <f>IF(AND(A156='BANG KE NL'!$M$11,TH!C156="NL",LEFT(D156,1)="N"),"x","")</f>
        <v/>
      </c>
    </row>
    <row r="157" spans="1:15" s="199" customFormat="1" hidden="1">
      <c r="A157" s="24">
        <f t="shared" si="9"/>
        <v>4</v>
      </c>
      <c r="B157" s="176" t="str">
        <f>IF(AND(MONTH(E157)='IN-NX'!$J$5,'IN-NX'!$D$7=(D157&amp;"/"&amp;C157)),"x","")</f>
        <v/>
      </c>
      <c r="C157" s="173" t="s">
        <v>226</v>
      </c>
      <c r="D157" s="173" t="s">
        <v>270</v>
      </c>
      <c r="E157" s="70">
        <v>42115</v>
      </c>
      <c r="F157" s="62" t="s">
        <v>68</v>
      </c>
      <c r="G157" s="19" t="s">
        <v>229</v>
      </c>
      <c r="H157" s="200" t="s">
        <v>97</v>
      </c>
      <c r="I157" s="57" t="s">
        <v>231</v>
      </c>
      <c r="J157" s="15">
        <v>17000</v>
      </c>
      <c r="K157" s="15"/>
      <c r="L157" s="15">
        <f t="shared" si="7"/>
        <v>0</v>
      </c>
      <c r="M157" s="15">
        <v>12954</v>
      </c>
      <c r="N157" s="15">
        <f t="shared" si="8"/>
        <v>220218000</v>
      </c>
      <c r="O157" s="15" t="str">
        <f>IF(AND(A157='BANG KE NL'!$M$11,TH!C157="NL",LEFT(D157,1)="N"),"x","")</f>
        <v/>
      </c>
    </row>
    <row r="158" spans="1:15" hidden="1">
      <c r="A158" s="24">
        <f t="shared" si="9"/>
        <v>5</v>
      </c>
      <c r="B158" s="176" t="str">
        <f>IF(AND(MONTH(E158)='IN-NX'!$J$5,'IN-NX'!$D$7=(D158&amp;"/"&amp;C158)),"x","")</f>
        <v/>
      </c>
      <c r="C158" s="173" t="s">
        <v>226</v>
      </c>
      <c r="D158" s="173" t="s">
        <v>214</v>
      </c>
      <c r="E158" s="70">
        <v>42126</v>
      </c>
      <c r="F158" s="62" t="s">
        <v>69</v>
      </c>
      <c r="G158" s="19" t="s">
        <v>169</v>
      </c>
      <c r="H158" s="200" t="s">
        <v>231</v>
      </c>
      <c r="I158" s="57" t="s">
        <v>124</v>
      </c>
      <c r="J158" s="15">
        <v>16000</v>
      </c>
      <c r="K158" s="15">
        <v>6980</v>
      </c>
      <c r="L158" s="15">
        <f t="shared" ref="L158:L164" si="10">ROUND(J158*K158,0)</f>
        <v>111680000</v>
      </c>
      <c r="M158" s="15"/>
      <c r="N158" s="15">
        <f t="shared" ref="N158:N164" si="11">ROUND(J158*M158,0)</f>
        <v>0</v>
      </c>
      <c r="O158" s="15" t="str">
        <f>IF(AND(A158='BANG KE NL'!$M$11,TH!C158="NL",LEFT(D158,1)="N"),"x","")</f>
        <v/>
      </c>
    </row>
    <row r="159" spans="1:15" hidden="1">
      <c r="A159" s="24">
        <f t="shared" si="9"/>
        <v>5</v>
      </c>
      <c r="B159" s="176" t="str">
        <f>IF(AND(MONTH(E159)='IN-NX'!$J$5,'IN-NX'!$D$7=(D159&amp;"/"&amp;C159)),"x","")</f>
        <v/>
      </c>
      <c r="C159" s="173" t="s">
        <v>226</v>
      </c>
      <c r="D159" s="173" t="s">
        <v>215</v>
      </c>
      <c r="E159" s="70">
        <v>42126</v>
      </c>
      <c r="F159" s="62" t="s">
        <v>69</v>
      </c>
      <c r="G159" s="19" t="s">
        <v>170</v>
      </c>
      <c r="H159" s="200" t="s">
        <v>231</v>
      </c>
      <c r="I159" s="57" t="s">
        <v>124</v>
      </c>
      <c r="J159" s="15">
        <v>16000</v>
      </c>
      <c r="K159" s="15">
        <v>6973</v>
      </c>
      <c r="L159" s="15">
        <f t="shared" si="10"/>
        <v>111568000</v>
      </c>
      <c r="M159" s="15"/>
      <c r="N159" s="15">
        <f t="shared" si="11"/>
        <v>0</v>
      </c>
      <c r="O159" s="15" t="str">
        <f>IF(AND(A159='BANG KE NL'!$M$11,TH!C159="NL",LEFT(D159,1)="N"),"x","")</f>
        <v/>
      </c>
    </row>
    <row r="160" spans="1:15" hidden="1">
      <c r="A160" s="24">
        <f t="shared" si="9"/>
        <v>5</v>
      </c>
      <c r="B160" s="176" t="str">
        <f>IF(AND(MONTH(E160)='IN-NX'!$J$5,'IN-NX'!$D$7=(D160&amp;"/"&amp;C160)),"x","")</f>
        <v/>
      </c>
      <c r="C160" s="173" t="s">
        <v>226</v>
      </c>
      <c r="D160" s="173" t="s">
        <v>216</v>
      </c>
      <c r="E160" s="70">
        <v>42126</v>
      </c>
      <c r="F160" s="62" t="s">
        <v>69</v>
      </c>
      <c r="G160" s="19" t="s">
        <v>171</v>
      </c>
      <c r="H160" s="200" t="s">
        <v>231</v>
      </c>
      <c r="I160" s="57" t="s">
        <v>124</v>
      </c>
      <c r="J160" s="15">
        <v>16000</v>
      </c>
      <c r="K160" s="15">
        <v>6948</v>
      </c>
      <c r="L160" s="15">
        <f t="shared" si="10"/>
        <v>111168000</v>
      </c>
      <c r="M160" s="15"/>
      <c r="N160" s="15">
        <f t="shared" si="11"/>
        <v>0</v>
      </c>
      <c r="O160" s="15" t="str">
        <f>IF(AND(A160='BANG KE NL'!$M$11,TH!C160="NL",LEFT(D160,1)="N"),"x","")</f>
        <v/>
      </c>
    </row>
    <row r="161" spans="1:15" hidden="1">
      <c r="A161" s="24">
        <f t="shared" si="9"/>
        <v>5</v>
      </c>
      <c r="B161" s="176" t="str">
        <f>IF(AND(MONTH(E161)='IN-NX'!$J$5,'IN-NX'!$D$7=(D161&amp;"/"&amp;C161)),"x","")</f>
        <v/>
      </c>
      <c r="C161" s="173" t="s">
        <v>226</v>
      </c>
      <c r="D161" s="173" t="s">
        <v>217</v>
      </c>
      <c r="E161" s="70">
        <v>42131</v>
      </c>
      <c r="F161" s="62" t="s">
        <v>69</v>
      </c>
      <c r="G161" s="19" t="s">
        <v>168</v>
      </c>
      <c r="H161" s="200" t="s">
        <v>231</v>
      </c>
      <c r="I161" s="57" t="s">
        <v>124</v>
      </c>
      <c r="J161" s="15">
        <v>16000</v>
      </c>
      <c r="K161" s="15">
        <v>6930</v>
      </c>
      <c r="L161" s="15">
        <f t="shared" si="10"/>
        <v>110880000</v>
      </c>
      <c r="M161" s="15"/>
      <c r="N161" s="15">
        <f t="shared" si="11"/>
        <v>0</v>
      </c>
      <c r="O161" s="15" t="str">
        <f>IF(AND(A161='BANG KE NL'!$M$11,TH!C161="NL",LEFT(D161,1)="N"),"x","")</f>
        <v/>
      </c>
    </row>
    <row r="162" spans="1:15" hidden="1">
      <c r="A162" s="24">
        <f t="shared" si="9"/>
        <v>5</v>
      </c>
      <c r="B162" s="176" t="str">
        <f>IF(AND(MONTH(E162)='IN-NX'!$J$5,'IN-NX'!$D$7=(D162&amp;"/"&amp;C162)),"x","")</f>
        <v/>
      </c>
      <c r="C162" s="173" t="s">
        <v>226</v>
      </c>
      <c r="D162" s="173" t="s">
        <v>218</v>
      </c>
      <c r="E162" s="70">
        <v>42131</v>
      </c>
      <c r="F162" s="62" t="s">
        <v>69</v>
      </c>
      <c r="G162" s="19" t="s">
        <v>169</v>
      </c>
      <c r="H162" s="200" t="s">
        <v>231</v>
      </c>
      <c r="I162" s="57" t="s">
        <v>124</v>
      </c>
      <c r="J162" s="15">
        <v>16000</v>
      </c>
      <c r="K162" s="15">
        <v>6753</v>
      </c>
      <c r="L162" s="15">
        <f t="shared" si="10"/>
        <v>108048000</v>
      </c>
      <c r="M162" s="15"/>
      <c r="N162" s="15">
        <f t="shared" si="11"/>
        <v>0</v>
      </c>
      <c r="O162" s="15" t="str">
        <f>IF(AND(A162='BANG KE NL'!$M$11,TH!C162="NL",LEFT(D162,1)="N"),"x","")</f>
        <v/>
      </c>
    </row>
    <row r="163" spans="1:15" hidden="1">
      <c r="A163" s="24">
        <f t="shared" si="9"/>
        <v>5</v>
      </c>
      <c r="B163" s="176" t="str">
        <f>IF(AND(MONTH(E163)='IN-NX'!$J$5,'IN-NX'!$D$7=(D163&amp;"/"&amp;C163)),"x","")</f>
        <v/>
      </c>
      <c r="C163" s="173" t="s">
        <v>226</v>
      </c>
      <c r="D163" s="173" t="s">
        <v>219</v>
      </c>
      <c r="E163" s="70">
        <v>42131</v>
      </c>
      <c r="F163" s="62" t="s">
        <v>69</v>
      </c>
      <c r="G163" s="19" t="s">
        <v>172</v>
      </c>
      <c r="H163" s="200" t="s">
        <v>231</v>
      </c>
      <c r="I163" s="57" t="s">
        <v>124</v>
      </c>
      <c r="J163" s="15">
        <v>16000</v>
      </c>
      <c r="K163" s="15">
        <v>6483</v>
      </c>
      <c r="L163" s="15">
        <f t="shared" si="10"/>
        <v>103728000</v>
      </c>
      <c r="M163" s="15"/>
      <c r="N163" s="15">
        <f t="shared" si="11"/>
        <v>0</v>
      </c>
      <c r="O163" s="15" t="str">
        <f>IF(AND(A163='BANG KE NL'!$M$11,TH!C163="NL",LEFT(D163,1)="N"),"x","")</f>
        <v/>
      </c>
    </row>
    <row r="164" spans="1:15" hidden="1">
      <c r="A164" s="24">
        <f t="shared" si="9"/>
        <v>5</v>
      </c>
      <c r="B164" s="176" t="str">
        <f>IF(AND(MONTH(E164)='IN-NX'!$J$5,'IN-NX'!$D$7=(D164&amp;"/"&amp;C164)),"x","")</f>
        <v/>
      </c>
      <c r="C164" s="173" t="s">
        <v>226</v>
      </c>
      <c r="D164" s="173" t="s">
        <v>232</v>
      </c>
      <c r="E164" s="70">
        <v>42135</v>
      </c>
      <c r="F164" s="62" t="s">
        <v>69</v>
      </c>
      <c r="G164" s="19" t="s">
        <v>185</v>
      </c>
      <c r="H164" s="200" t="s">
        <v>231</v>
      </c>
      <c r="I164" s="57" t="s">
        <v>124</v>
      </c>
      <c r="J164" s="15">
        <v>16000</v>
      </c>
      <c r="K164" s="15">
        <v>6986</v>
      </c>
      <c r="L164" s="15">
        <f t="shared" si="10"/>
        <v>111776000</v>
      </c>
      <c r="M164" s="15"/>
      <c r="N164" s="15">
        <f t="shared" si="11"/>
        <v>0</v>
      </c>
      <c r="O164" s="15" t="str">
        <f>IF(AND(A164='BANG KE NL'!$M$11,TH!C164="NL",LEFT(D164,1)="N"),"x","")</f>
        <v/>
      </c>
    </row>
    <row r="165" spans="1:15" hidden="1">
      <c r="A165" s="24">
        <f t="shared" si="9"/>
        <v>5</v>
      </c>
      <c r="B165" s="176" t="str">
        <f>IF(AND(MONTH(E165)='IN-NX'!$J$5,'IN-NX'!$D$7=(D165&amp;"/"&amp;C165)),"x","")</f>
        <v/>
      </c>
      <c r="C165" s="173" t="s">
        <v>226</v>
      </c>
      <c r="D165" s="173" t="s">
        <v>234</v>
      </c>
      <c r="E165" s="70">
        <v>42135</v>
      </c>
      <c r="F165" s="62" t="s">
        <v>69</v>
      </c>
      <c r="G165" s="19" t="s">
        <v>186</v>
      </c>
      <c r="H165" s="200" t="s">
        <v>231</v>
      </c>
      <c r="I165" s="57" t="s">
        <v>124</v>
      </c>
      <c r="J165" s="15">
        <v>16000</v>
      </c>
      <c r="K165" s="15">
        <v>6749</v>
      </c>
      <c r="L165" s="15">
        <f t="shared" ref="L165:L186" si="12">ROUND(J165*K165,0)</f>
        <v>107984000</v>
      </c>
      <c r="M165" s="15"/>
      <c r="N165" s="15">
        <f t="shared" ref="N165:N186" si="13">ROUND(J165*M165,0)</f>
        <v>0</v>
      </c>
      <c r="O165" s="15" t="str">
        <f>IF(AND(A165='BANG KE NL'!$M$11,TH!C165="NL",LEFT(D165,1)="N"),"x","")</f>
        <v/>
      </c>
    </row>
    <row r="166" spans="1:15" hidden="1">
      <c r="A166" s="24">
        <f t="shared" si="9"/>
        <v>5</v>
      </c>
      <c r="B166" s="176" t="str">
        <f>IF(AND(MONTH(E166)='IN-NX'!$J$5,'IN-NX'!$D$7=(D166&amp;"/"&amp;C166)),"x","")</f>
        <v/>
      </c>
      <c r="C166" s="173" t="s">
        <v>226</v>
      </c>
      <c r="D166" s="173" t="s">
        <v>235</v>
      </c>
      <c r="E166" s="70">
        <v>42135</v>
      </c>
      <c r="F166" s="62" t="s">
        <v>69</v>
      </c>
      <c r="G166" s="19" t="s">
        <v>187</v>
      </c>
      <c r="H166" s="200" t="s">
        <v>231</v>
      </c>
      <c r="I166" s="57" t="s">
        <v>124</v>
      </c>
      <c r="J166" s="15">
        <v>16000</v>
      </c>
      <c r="K166" s="15">
        <v>6791</v>
      </c>
      <c r="L166" s="15">
        <f t="shared" si="12"/>
        <v>108656000</v>
      </c>
      <c r="M166" s="15"/>
      <c r="N166" s="15">
        <f t="shared" si="13"/>
        <v>0</v>
      </c>
      <c r="O166" s="15" t="str">
        <f>IF(AND(A166='BANG KE NL'!$M$11,TH!C166="NL",LEFT(D166,1)="N"),"x","")</f>
        <v/>
      </c>
    </row>
    <row r="167" spans="1:15" hidden="1">
      <c r="A167" s="24">
        <f t="shared" si="9"/>
        <v>5</v>
      </c>
      <c r="B167" s="176" t="str">
        <f>IF(AND(MONTH(E167)='IN-NX'!$J$5,'IN-NX'!$D$7=(D167&amp;"/"&amp;C167)),"x","")</f>
        <v/>
      </c>
      <c r="C167" s="173" t="s">
        <v>226</v>
      </c>
      <c r="D167" s="173" t="s">
        <v>236</v>
      </c>
      <c r="E167" s="70">
        <v>42139</v>
      </c>
      <c r="F167" s="62" t="s">
        <v>69</v>
      </c>
      <c r="G167" s="19" t="s">
        <v>197</v>
      </c>
      <c r="H167" s="200" t="s">
        <v>231</v>
      </c>
      <c r="I167" s="57" t="s">
        <v>124</v>
      </c>
      <c r="J167" s="15">
        <v>16000</v>
      </c>
      <c r="K167" s="15">
        <v>6983</v>
      </c>
      <c r="L167" s="15">
        <f t="shared" si="12"/>
        <v>111728000</v>
      </c>
      <c r="M167" s="15"/>
      <c r="N167" s="15">
        <f t="shared" si="13"/>
        <v>0</v>
      </c>
      <c r="O167" s="15" t="str">
        <f>IF(AND(A167='BANG KE NL'!$M$11,TH!C167="NL",LEFT(D167,1)="N"),"x","")</f>
        <v/>
      </c>
    </row>
    <row r="168" spans="1:15" hidden="1">
      <c r="A168" s="24">
        <f t="shared" si="9"/>
        <v>5</v>
      </c>
      <c r="B168" s="176" t="str">
        <f>IF(AND(MONTH(E168)='IN-NX'!$J$5,'IN-NX'!$D$7=(D168&amp;"/"&amp;C168)),"x","")</f>
        <v/>
      </c>
      <c r="C168" s="173" t="s">
        <v>226</v>
      </c>
      <c r="D168" s="173" t="s">
        <v>237</v>
      </c>
      <c r="E168" s="70">
        <v>42139</v>
      </c>
      <c r="F168" s="62" t="s">
        <v>69</v>
      </c>
      <c r="G168" s="19" t="s">
        <v>191</v>
      </c>
      <c r="H168" s="200" t="s">
        <v>231</v>
      </c>
      <c r="I168" s="57" t="s">
        <v>124</v>
      </c>
      <c r="J168" s="15">
        <v>16000</v>
      </c>
      <c r="K168" s="15">
        <v>6830</v>
      </c>
      <c r="L168" s="15">
        <f t="shared" si="12"/>
        <v>109280000</v>
      </c>
      <c r="M168" s="15"/>
      <c r="N168" s="15">
        <f t="shared" si="13"/>
        <v>0</v>
      </c>
      <c r="O168" s="15" t="str">
        <f>IF(AND(A168='BANG KE NL'!$M$11,TH!C168="NL",LEFT(D168,1)="N"),"x","")</f>
        <v/>
      </c>
    </row>
    <row r="169" spans="1:15" hidden="1">
      <c r="A169" s="24">
        <f t="shared" si="9"/>
        <v>5</v>
      </c>
      <c r="B169" s="176" t="str">
        <f>IF(AND(MONTH(E169)='IN-NX'!$J$5,'IN-NX'!$D$7=(D169&amp;"/"&amp;C169)),"x","")</f>
        <v/>
      </c>
      <c r="C169" s="173" t="s">
        <v>226</v>
      </c>
      <c r="D169" s="173" t="s">
        <v>238</v>
      </c>
      <c r="E169" s="70">
        <v>42139</v>
      </c>
      <c r="F169" s="62" t="s">
        <v>69</v>
      </c>
      <c r="G169" s="19" t="s">
        <v>192</v>
      </c>
      <c r="H169" s="200" t="s">
        <v>231</v>
      </c>
      <c r="I169" s="57" t="s">
        <v>124</v>
      </c>
      <c r="J169" s="15">
        <v>16000</v>
      </c>
      <c r="K169" s="15">
        <v>6730</v>
      </c>
      <c r="L169" s="15">
        <f t="shared" si="12"/>
        <v>107680000</v>
      </c>
      <c r="M169" s="15"/>
      <c r="N169" s="15">
        <f t="shared" si="13"/>
        <v>0</v>
      </c>
      <c r="O169" s="15" t="str">
        <f>IF(AND(A169='BANG KE NL'!$M$11,TH!C169="NL",LEFT(D169,1)="N"),"x","")</f>
        <v/>
      </c>
    </row>
    <row r="170" spans="1:15" hidden="1">
      <c r="A170" s="24">
        <f t="shared" si="9"/>
        <v>5</v>
      </c>
      <c r="B170" s="176" t="str">
        <f>IF(AND(MONTH(E170)='IN-NX'!$J$5,'IN-NX'!$D$7=(D170&amp;"/"&amp;C170)),"x","")</f>
        <v/>
      </c>
      <c r="C170" s="173" t="s">
        <v>226</v>
      </c>
      <c r="D170" s="173" t="s">
        <v>242</v>
      </c>
      <c r="E170" s="70">
        <v>42145</v>
      </c>
      <c r="F170" s="62" t="s">
        <v>69</v>
      </c>
      <c r="G170" s="19" t="s">
        <v>197</v>
      </c>
      <c r="H170" s="200" t="s">
        <v>231</v>
      </c>
      <c r="I170" s="57" t="s">
        <v>124</v>
      </c>
      <c r="J170" s="15">
        <v>16000</v>
      </c>
      <c r="K170" s="15">
        <v>6403</v>
      </c>
      <c r="L170" s="15">
        <f t="shared" si="12"/>
        <v>102448000</v>
      </c>
      <c r="M170" s="15"/>
      <c r="N170" s="15">
        <f t="shared" si="13"/>
        <v>0</v>
      </c>
      <c r="O170" s="15" t="str">
        <f>IF(AND(A170='BANG KE NL'!$M$11,TH!C170="NL",LEFT(D170,1)="N"),"x","")</f>
        <v/>
      </c>
    </row>
    <row r="171" spans="1:15" hidden="1">
      <c r="A171" s="24">
        <f t="shared" si="9"/>
        <v>5</v>
      </c>
      <c r="B171" s="176" t="str">
        <f>IF(AND(MONTH(E171)='IN-NX'!$J$5,'IN-NX'!$D$7=(D171&amp;"/"&amp;C171)),"x","")</f>
        <v/>
      </c>
      <c r="C171" s="173" t="s">
        <v>226</v>
      </c>
      <c r="D171" s="173" t="s">
        <v>243</v>
      </c>
      <c r="E171" s="70">
        <v>42145</v>
      </c>
      <c r="F171" s="62" t="s">
        <v>69</v>
      </c>
      <c r="G171" s="19" t="s">
        <v>194</v>
      </c>
      <c r="H171" s="200" t="s">
        <v>231</v>
      </c>
      <c r="I171" s="57" t="s">
        <v>124</v>
      </c>
      <c r="J171" s="15">
        <v>16000</v>
      </c>
      <c r="K171" s="15">
        <v>6930</v>
      </c>
      <c r="L171" s="15">
        <f t="shared" si="12"/>
        <v>110880000</v>
      </c>
      <c r="M171" s="15"/>
      <c r="N171" s="15">
        <f t="shared" si="13"/>
        <v>0</v>
      </c>
      <c r="O171" s="15" t="str">
        <f>IF(AND(A171='BANG KE NL'!$M$11,TH!C171="NL",LEFT(D171,1)="N"),"x","")</f>
        <v/>
      </c>
    </row>
    <row r="172" spans="1:15" hidden="1">
      <c r="A172" s="24">
        <f t="shared" si="9"/>
        <v>5</v>
      </c>
      <c r="B172" s="176" t="str">
        <f>IF(AND(MONTH(E172)='IN-NX'!$J$5,'IN-NX'!$D$7=(D172&amp;"/"&amp;C172)),"x","")</f>
        <v/>
      </c>
      <c r="C172" s="173" t="s">
        <v>226</v>
      </c>
      <c r="D172" s="173" t="s">
        <v>244</v>
      </c>
      <c r="E172" s="70">
        <v>42145</v>
      </c>
      <c r="F172" s="62" t="s">
        <v>69</v>
      </c>
      <c r="G172" s="19" t="s">
        <v>195</v>
      </c>
      <c r="H172" s="200" t="s">
        <v>231</v>
      </c>
      <c r="I172" s="57" t="s">
        <v>124</v>
      </c>
      <c r="J172" s="15">
        <v>16000</v>
      </c>
      <c r="K172" s="15">
        <v>6810</v>
      </c>
      <c r="L172" s="15">
        <f t="shared" si="12"/>
        <v>108960000</v>
      </c>
      <c r="M172" s="15"/>
      <c r="N172" s="15">
        <f t="shared" si="13"/>
        <v>0</v>
      </c>
      <c r="O172" s="15" t="str">
        <f>IF(AND(A172='BANG KE NL'!$M$11,TH!C172="NL",LEFT(D172,1)="N"),"x","")</f>
        <v/>
      </c>
    </row>
    <row r="173" spans="1:15" hidden="1">
      <c r="A173" s="24">
        <f t="shared" si="9"/>
        <v>5</v>
      </c>
      <c r="B173" s="176" t="str">
        <f>IF(AND(MONTH(E173)='IN-NX'!$J$5,'IN-NX'!$D$7=(D173&amp;"/"&amp;C173)),"x","")</f>
        <v/>
      </c>
      <c r="C173" s="173" t="s">
        <v>226</v>
      </c>
      <c r="D173" s="173" t="s">
        <v>245</v>
      </c>
      <c r="E173" s="70">
        <v>42145</v>
      </c>
      <c r="F173" s="62" t="s">
        <v>69</v>
      </c>
      <c r="G173" s="19" t="s">
        <v>196</v>
      </c>
      <c r="H173" s="200" t="s">
        <v>231</v>
      </c>
      <c r="I173" s="57" t="s">
        <v>124</v>
      </c>
      <c r="J173" s="15">
        <v>16000</v>
      </c>
      <c r="K173" s="15">
        <v>6585</v>
      </c>
      <c r="L173" s="15">
        <f t="shared" si="12"/>
        <v>105360000</v>
      </c>
      <c r="M173" s="15"/>
      <c r="N173" s="15">
        <f t="shared" si="13"/>
        <v>0</v>
      </c>
      <c r="O173" s="15" t="str">
        <f>IF(AND(A173='BANG KE NL'!$M$11,TH!C173="NL",LEFT(D173,1)="N"),"x","")</f>
        <v/>
      </c>
    </row>
    <row r="174" spans="1:15" hidden="1">
      <c r="A174" s="24">
        <f t="shared" si="9"/>
        <v>5</v>
      </c>
      <c r="B174" s="176" t="str">
        <f>IF(AND(MONTH(E174)='IN-NX'!$J$5,'IN-NX'!$D$7=(D174&amp;"/"&amp;C174)),"x","")</f>
        <v/>
      </c>
      <c r="C174" s="173" t="s">
        <v>226</v>
      </c>
      <c r="D174" s="173" t="s">
        <v>220</v>
      </c>
      <c r="E174" s="70">
        <v>42126</v>
      </c>
      <c r="F174" s="62" t="s">
        <v>69</v>
      </c>
      <c r="G174" s="19" t="s">
        <v>229</v>
      </c>
      <c r="H174" s="200" t="s">
        <v>97</v>
      </c>
      <c r="I174" s="57" t="s">
        <v>231</v>
      </c>
      <c r="J174" s="15">
        <v>16000</v>
      </c>
      <c r="K174" s="15"/>
      <c r="L174" s="15">
        <f t="shared" si="12"/>
        <v>0</v>
      </c>
      <c r="M174" s="15">
        <v>20901</v>
      </c>
      <c r="N174" s="15">
        <f t="shared" si="13"/>
        <v>334416000</v>
      </c>
      <c r="O174" s="15" t="str">
        <f>IF(AND(A174='BANG KE NL'!$M$11,TH!C174="NL",LEFT(D174,1)="N"),"x","")</f>
        <v/>
      </c>
    </row>
    <row r="175" spans="1:15" hidden="1">
      <c r="A175" s="24">
        <f t="shared" si="9"/>
        <v>5</v>
      </c>
      <c r="B175" s="176" t="str">
        <f>IF(AND(MONTH(E175)='IN-NX'!$J$5,'IN-NX'!$D$7=(D175&amp;"/"&amp;C175)),"x","")</f>
        <v/>
      </c>
      <c r="C175" s="173" t="s">
        <v>226</v>
      </c>
      <c r="D175" s="173" t="s">
        <v>221</v>
      </c>
      <c r="E175" s="70">
        <v>42131</v>
      </c>
      <c r="F175" s="62" t="s">
        <v>69</v>
      </c>
      <c r="G175" s="19" t="s">
        <v>229</v>
      </c>
      <c r="H175" s="200" t="s">
        <v>97</v>
      </c>
      <c r="I175" s="57" t="s">
        <v>231</v>
      </c>
      <c r="J175" s="15">
        <v>16000</v>
      </c>
      <c r="K175" s="15"/>
      <c r="L175" s="15">
        <f t="shared" si="12"/>
        <v>0</v>
      </c>
      <c r="M175" s="15">
        <v>20166</v>
      </c>
      <c r="N175" s="15">
        <f t="shared" si="13"/>
        <v>322656000</v>
      </c>
      <c r="O175" s="15" t="str">
        <f>IF(AND(A175='BANG KE NL'!$M$11,TH!C175="NL",LEFT(D175,1)="N"),"x","")</f>
        <v/>
      </c>
    </row>
    <row r="176" spans="1:15" hidden="1">
      <c r="A176" s="24">
        <f t="shared" si="9"/>
        <v>5</v>
      </c>
      <c r="B176" s="176" t="str">
        <f>IF(AND(MONTH(E176)='IN-NX'!$J$5,'IN-NX'!$D$7=(D176&amp;"/"&amp;C176)),"x","")</f>
        <v/>
      </c>
      <c r="C176" s="173" t="s">
        <v>226</v>
      </c>
      <c r="D176" s="173" t="s">
        <v>222</v>
      </c>
      <c r="E176" s="70">
        <v>42135</v>
      </c>
      <c r="F176" s="62" t="s">
        <v>69</v>
      </c>
      <c r="G176" s="19" t="s">
        <v>229</v>
      </c>
      <c r="H176" s="200" t="s">
        <v>97</v>
      </c>
      <c r="I176" s="57" t="s">
        <v>231</v>
      </c>
      <c r="J176" s="15">
        <v>16000</v>
      </c>
      <c r="K176" s="15"/>
      <c r="L176" s="15">
        <f t="shared" si="12"/>
        <v>0</v>
      </c>
      <c r="M176" s="15">
        <v>20526</v>
      </c>
      <c r="N176" s="15">
        <f t="shared" si="13"/>
        <v>328416000</v>
      </c>
      <c r="O176" s="15" t="str">
        <f>IF(AND(A176='BANG KE NL'!$M$11,TH!C176="NL",LEFT(D176,1)="N"),"x","")</f>
        <v/>
      </c>
    </row>
    <row r="177" spans="1:15" hidden="1">
      <c r="A177" s="24">
        <f t="shared" si="9"/>
        <v>5</v>
      </c>
      <c r="B177" s="176" t="str">
        <f>IF(AND(MONTH(E177)='IN-NX'!$J$5,'IN-NX'!$D$7=(D177&amp;"/"&amp;C177)),"x","")</f>
        <v/>
      </c>
      <c r="C177" s="173" t="s">
        <v>226</v>
      </c>
      <c r="D177" s="173" t="s">
        <v>223</v>
      </c>
      <c r="E177" s="70">
        <v>42139</v>
      </c>
      <c r="F177" s="62" t="s">
        <v>69</v>
      </c>
      <c r="G177" s="19" t="s">
        <v>229</v>
      </c>
      <c r="H177" s="200" t="s">
        <v>97</v>
      </c>
      <c r="I177" s="57" t="s">
        <v>231</v>
      </c>
      <c r="J177" s="15">
        <v>16000</v>
      </c>
      <c r="K177" s="15"/>
      <c r="L177" s="15">
        <f t="shared" si="12"/>
        <v>0</v>
      </c>
      <c r="M177" s="15">
        <v>20543</v>
      </c>
      <c r="N177" s="15">
        <f t="shared" si="13"/>
        <v>328688000</v>
      </c>
      <c r="O177" s="15" t="str">
        <f>IF(AND(A177='BANG KE NL'!$M$11,TH!C177="NL",LEFT(D177,1)="N"),"x","")</f>
        <v/>
      </c>
    </row>
    <row r="178" spans="1:15" hidden="1">
      <c r="A178" s="24">
        <f t="shared" si="9"/>
        <v>5</v>
      </c>
      <c r="B178" s="176" t="str">
        <f>IF(AND(MONTH(E178)='IN-NX'!$J$5,'IN-NX'!$D$7=(D178&amp;"/"&amp;C178)),"x","")</f>
        <v/>
      </c>
      <c r="C178" s="173" t="s">
        <v>226</v>
      </c>
      <c r="D178" s="173" t="s">
        <v>268</v>
      </c>
      <c r="E178" s="70">
        <v>42145</v>
      </c>
      <c r="F178" s="62" t="s">
        <v>69</v>
      </c>
      <c r="G178" s="19" t="s">
        <v>229</v>
      </c>
      <c r="H178" s="200" t="s">
        <v>97</v>
      </c>
      <c r="I178" s="57" t="s">
        <v>231</v>
      </c>
      <c r="J178" s="15">
        <v>16000</v>
      </c>
      <c r="K178" s="15"/>
      <c r="L178" s="15">
        <f t="shared" si="12"/>
        <v>0</v>
      </c>
      <c r="M178" s="15">
        <v>26728</v>
      </c>
      <c r="N178" s="15">
        <f t="shared" si="13"/>
        <v>427648000</v>
      </c>
      <c r="O178" s="15" t="str">
        <f>IF(AND(A178='BANG KE NL'!$M$11,TH!C178="NL",LEFT(D178,1)="N"),"x","")</f>
        <v/>
      </c>
    </row>
    <row r="179" spans="1:15" hidden="1">
      <c r="A179" s="24">
        <f t="shared" si="9"/>
        <v>5</v>
      </c>
      <c r="B179" s="176" t="str">
        <f>IF(AND(MONTH(E179)='IN-NX'!$J$5,'IN-NX'!$D$7=(D179&amp;"/"&amp;C179)),"x","")</f>
        <v/>
      </c>
      <c r="C179" s="173" t="s">
        <v>226</v>
      </c>
      <c r="D179" s="173" t="s">
        <v>239</v>
      </c>
      <c r="E179" s="70">
        <v>42141</v>
      </c>
      <c r="F179" s="62" t="s">
        <v>68</v>
      </c>
      <c r="G179" s="19" t="s">
        <v>176</v>
      </c>
      <c r="H179" s="200" t="s">
        <v>231</v>
      </c>
      <c r="I179" s="57" t="s">
        <v>124</v>
      </c>
      <c r="J179" s="15">
        <v>17000</v>
      </c>
      <c r="K179" s="15">
        <v>6083</v>
      </c>
      <c r="L179" s="15">
        <f t="shared" si="12"/>
        <v>103411000</v>
      </c>
      <c r="M179" s="15"/>
      <c r="N179" s="15">
        <f t="shared" si="13"/>
        <v>0</v>
      </c>
      <c r="O179" s="15" t="str">
        <f>IF(AND(A179='BANG KE NL'!$M$11,TH!C179="NL",LEFT(D179,1)="N"),"x","")</f>
        <v/>
      </c>
    </row>
    <row r="180" spans="1:15" hidden="1">
      <c r="A180" s="24">
        <f t="shared" si="9"/>
        <v>5</v>
      </c>
      <c r="B180" s="176" t="str">
        <f>IF(AND(MONTH(E180)='IN-NX'!$J$5,'IN-NX'!$D$7=(D180&amp;"/"&amp;C180)),"x","")</f>
        <v/>
      </c>
      <c r="C180" s="173" t="s">
        <v>226</v>
      </c>
      <c r="D180" s="173" t="s">
        <v>240</v>
      </c>
      <c r="E180" s="70">
        <v>42141</v>
      </c>
      <c r="F180" s="62" t="s">
        <v>68</v>
      </c>
      <c r="G180" s="19" t="s">
        <v>178</v>
      </c>
      <c r="H180" s="200" t="s">
        <v>231</v>
      </c>
      <c r="I180" s="57" t="s">
        <v>124</v>
      </c>
      <c r="J180" s="15">
        <v>17000</v>
      </c>
      <c r="K180" s="15">
        <v>6283</v>
      </c>
      <c r="L180" s="15">
        <f t="shared" si="12"/>
        <v>106811000</v>
      </c>
      <c r="M180" s="15"/>
      <c r="N180" s="15">
        <f t="shared" si="13"/>
        <v>0</v>
      </c>
      <c r="O180" s="15" t="str">
        <f>IF(AND(A180='BANG KE NL'!$M$11,TH!C180="NL",LEFT(D180,1)="N"),"x","")</f>
        <v/>
      </c>
    </row>
    <row r="181" spans="1:15" hidden="1">
      <c r="A181" s="24">
        <f t="shared" si="9"/>
        <v>5</v>
      </c>
      <c r="B181" s="176" t="str">
        <f>IF(AND(MONTH(E181)='IN-NX'!$J$5,'IN-NX'!$D$7=(D181&amp;"/"&amp;C181)),"x","")</f>
        <v/>
      </c>
      <c r="C181" s="173" t="s">
        <v>226</v>
      </c>
      <c r="D181" s="173" t="s">
        <v>241</v>
      </c>
      <c r="E181" s="70">
        <v>42141</v>
      </c>
      <c r="F181" s="62" t="s">
        <v>68</v>
      </c>
      <c r="G181" s="19" t="s">
        <v>177</v>
      </c>
      <c r="H181" s="200" t="s">
        <v>231</v>
      </c>
      <c r="I181" s="57" t="s">
        <v>124</v>
      </c>
      <c r="J181" s="15">
        <v>17000</v>
      </c>
      <c r="K181" s="15">
        <v>5983</v>
      </c>
      <c r="L181" s="15">
        <f t="shared" si="12"/>
        <v>101711000</v>
      </c>
      <c r="M181" s="15"/>
      <c r="N181" s="15">
        <f t="shared" si="13"/>
        <v>0</v>
      </c>
      <c r="O181" s="15" t="str">
        <f>IF(AND(A181='BANG KE NL'!$M$11,TH!C181="NL",LEFT(D181,1)="N"),"x","")</f>
        <v/>
      </c>
    </row>
    <row r="182" spans="1:15" hidden="1">
      <c r="A182" s="24">
        <f t="shared" si="9"/>
        <v>5</v>
      </c>
      <c r="B182" s="176" t="str">
        <f>IF(AND(MONTH(E182)='IN-NX'!$J$5,'IN-NX'!$D$7=(D182&amp;"/"&amp;C182)),"x","")</f>
        <v/>
      </c>
      <c r="C182" s="173" t="s">
        <v>226</v>
      </c>
      <c r="D182" s="173" t="s">
        <v>246</v>
      </c>
      <c r="E182" s="70">
        <v>42149</v>
      </c>
      <c r="F182" s="62" t="s">
        <v>68</v>
      </c>
      <c r="G182" s="19" t="s">
        <v>180</v>
      </c>
      <c r="H182" s="200" t="s">
        <v>231</v>
      </c>
      <c r="I182" s="57" t="s">
        <v>124</v>
      </c>
      <c r="J182" s="15">
        <v>17000</v>
      </c>
      <c r="K182" s="15">
        <v>6483</v>
      </c>
      <c r="L182" s="15">
        <f t="shared" si="12"/>
        <v>110211000</v>
      </c>
      <c r="M182" s="15"/>
      <c r="N182" s="15">
        <f t="shared" si="13"/>
        <v>0</v>
      </c>
      <c r="O182" s="15" t="str">
        <f>IF(AND(A182='BANG KE NL'!$M$11,TH!C182="NL",LEFT(D182,1)="N"),"x","")</f>
        <v/>
      </c>
    </row>
    <row r="183" spans="1:15" hidden="1">
      <c r="A183" s="24">
        <f t="shared" si="9"/>
        <v>5</v>
      </c>
      <c r="B183" s="176" t="str">
        <f>IF(AND(MONTH(E183)='IN-NX'!$J$5,'IN-NX'!$D$7=(D183&amp;"/"&amp;C183)),"x","")</f>
        <v/>
      </c>
      <c r="C183" s="173" t="s">
        <v>226</v>
      </c>
      <c r="D183" s="173" t="s">
        <v>247</v>
      </c>
      <c r="E183" s="70">
        <v>42149</v>
      </c>
      <c r="F183" s="62" t="s">
        <v>68</v>
      </c>
      <c r="G183" s="19" t="s">
        <v>181</v>
      </c>
      <c r="H183" s="200" t="s">
        <v>231</v>
      </c>
      <c r="I183" s="57" t="s">
        <v>124</v>
      </c>
      <c r="J183" s="15">
        <v>17000</v>
      </c>
      <c r="K183" s="15">
        <v>5073</v>
      </c>
      <c r="L183" s="15">
        <f t="shared" si="12"/>
        <v>86241000</v>
      </c>
      <c r="M183" s="15"/>
      <c r="N183" s="15">
        <f t="shared" si="13"/>
        <v>0</v>
      </c>
      <c r="O183" s="15" t="str">
        <f>IF(AND(A183='BANG KE NL'!$M$11,TH!C183="NL",LEFT(D183,1)="N"),"x","")</f>
        <v/>
      </c>
    </row>
    <row r="184" spans="1:15" hidden="1">
      <c r="A184" s="24">
        <f t="shared" si="9"/>
        <v>5</v>
      </c>
      <c r="B184" s="176" t="str">
        <f>IF(AND(MONTH(E184)='IN-NX'!$J$5,'IN-NX'!$D$7=(D184&amp;"/"&amp;C184)),"x","")</f>
        <v/>
      </c>
      <c r="C184" s="173" t="s">
        <v>226</v>
      </c>
      <c r="D184" s="173" t="s">
        <v>248</v>
      </c>
      <c r="E184" s="70">
        <v>42149</v>
      </c>
      <c r="F184" s="62" t="s">
        <v>68</v>
      </c>
      <c r="G184" s="19" t="s">
        <v>176</v>
      </c>
      <c r="H184" s="200" t="s">
        <v>231</v>
      </c>
      <c r="I184" s="57" t="s">
        <v>124</v>
      </c>
      <c r="J184" s="15">
        <v>17000</v>
      </c>
      <c r="K184" s="15">
        <v>5533</v>
      </c>
      <c r="L184" s="15">
        <f t="shared" si="12"/>
        <v>94061000</v>
      </c>
      <c r="M184" s="15"/>
      <c r="N184" s="15">
        <f t="shared" si="13"/>
        <v>0</v>
      </c>
      <c r="O184" s="15" t="str">
        <f>IF(AND(A184='BANG KE NL'!$M$11,TH!C184="NL",LEFT(D184,1)="N"),"x","")</f>
        <v/>
      </c>
    </row>
    <row r="185" spans="1:15" hidden="1">
      <c r="A185" s="24">
        <f t="shared" si="9"/>
        <v>5</v>
      </c>
      <c r="B185" s="176" t="str">
        <f>IF(AND(MONTH(E185)='IN-NX'!$J$5,'IN-NX'!$D$7=(D185&amp;"/"&amp;C185)),"x","")</f>
        <v/>
      </c>
      <c r="C185" s="173" t="s">
        <v>226</v>
      </c>
      <c r="D185" s="173" t="s">
        <v>230</v>
      </c>
      <c r="E185" s="70">
        <v>42141</v>
      </c>
      <c r="F185" s="62" t="s">
        <v>68</v>
      </c>
      <c r="G185" s="19" t="s">
        <v>229</v>
      </c>
      <c r="H185" s="200" t="s">
        <v>97</v>
      </c>
      <c r="I185" s="57" t="s">
        <v>231</v>
      </c>
      <c r="J185" s="15">
        <v>17000</v>
      </c>
      <c r="K185" s="15"/>
      <c r="L185" s="15">
        <f t="shared" si="12"/>
        <v>0</v>
      </c>
      <c r="M185" s="15">
        <v>18349</v>
      </c>
      <c r="N185" s="15">
        <f t="shared" si="13"/>
        <v>311933000</v>
      </c>
      <c r="O185" s="15" t="str">
        <f>IF(AND(A185='BANG KE NL'!$M$11,TH!C185="NL",LEFT(D185,1)="N"),"x","")</f>
        <v/>
      </c>
    </row>
    <row r="186" spans="1:15" hidden="1">
      <c r="A186" s="24">
        <f t="shared" si="9"/>
        <v>5</v>
      </c>
      <c r="B186" s="176" t="str">
        <f>IF(AND(MONTH(E186)='IN-NX'!$J$5,'IN-NX'!$D$7=(D186&amp;"/"&amp;C186)),"x","")</f>
        <v/>
      </c>
      <c r="C186" s="173" t="s">
        <v>226</v>
      </c>
      <c r="D186" s="173" t="s">
        <v>269</v>
      </c>
      <c r="E186" s="70">
        <v>42149</v>
      </c>
      <c r="F186" s="62" t="s">
        <v>68</v>
      </c>
      <c r="G186" s="19" t="s">
        <v>229</v>
      </c>
      <c r="H186" s="200" t="s">
        <v>97</v>
      </c>
      <c r="I186" s="57" t="s">
        <v>231</v>
      </c>
      <c r="J186" s="15">
        <v>17000</v>
      </c>
      <c r="K186" s="15"/>
      <c r="L186" s="15">
        <f t="shared" si="12"/>
        <v>0</v>
      </c>
      <c r="M186" s="15">
        <v>17089</v>
      </c>
      <c r="N186" s="15">
        <f t="shared" si="13"/>
        <v>290513000</v>
      </c>
      <c r="O186" s="15" t="str">
        <f>IF(AND(A186='BANG KE NL'!$M$11,TH!C186="NL",LEFT(D186,1)="N"),"x","")</f>
        <v/>
      </c>
    </row>
    <row r="187" spans="1:15" hidden="1">
      <c r="A187" s="24">
        <f t="shared" si="9"/>
        <v>6</v>
      </c>
      <c r="B187" s="176" t="str">
        <f>IF(AND(MONTH(E187)='IN-NX'!$J$5,'IN-NX'!$D$7=(D187&amp;"/"&amp;C187)),"x","")</f>
        <v/>
      </c>
      <c r="C187" s="173" t="s">
        <v>226</v>
      </c>
      <c r="D187" s="173" t="s">
        <v>214</v>
      </c>
      <c r="E187" s="70">
        <v>42156</v>
      </c>
      <c r="F187" s="62" t="s">
        <v>68</v>
      </c>
      <c r="G187" s="19" t="s">
        <v>175</v>
      </c>
      <c r="H187" s="200" t="s">
        <v>231</v>
      </c>
      <c r="I187" s="57" t="s">
        <v>124</v>
      </c>
      <c r="J187" s="15">
        <v>12000</v>
      </c>
      <c r="K187" s="15">
        <v>6589</v>
      </c>
      <c r="L187" s="15">
        <f t="shared" ref="L187:L234" si="14">ROUND(J187*K187,0)</f>
        <v>79068000</v>
      </c>
      <c r="M187" s="15"/>
      <c r="N187" s="15">
        <f t="shared" ref="N187:N234" si="15">ROUND(J187*M187,0)</f>
        <v>0</v>
      </c>
      <c r="O187" s="15" t="str">
        <f>IF(AND(A187='BANG KE NL'!$M$11,TH!C187="NL",LEFT(D187,1)="N"),"x","")</f>
        <v/>
      </c>
    </row>
    <row r="188" spans="1:15" hidden="1">
      <c r="A188" s="24">
        <f t="shared" si="9"/>
        <v>6</v>
      </c>
      <c r="B188" s="176" t="str">
        <f>IF(AND(MONTH(E188)='IN-NX'!$J$5,'IN-NX'!$D$7=(D188&amp;"/"&amp;C188)),"x","")</f>
        <v/>
      </c>
      <c r="C188" s="173" t="s">
        <v>226</v>
      </c>
      <c r="D188" s="173" t="s">
        <v>215</v>
      </c>
      <c r="E188" s="70">
        <v>42156</v>
      </c>
      <c r="F188" s="62" t="s">
        <v>68</v>
      </c>
      <c r="G188" s="19" t="s">
        <v>176</v>
      </c>
      <c r="H188" s="200" t="s">
        <v>231</v>
      </c>
      <c r="I188" s="57" t="s">
        <v>124</v>
      </c>
      <c r="J188" s="15">
        <v>12000</v>
      </c>
      <c r="K188" s="15">
        <v>5893</v>
      </c>
      <c r="L188" s="15">
        <f t="shared" si="14"/>
        <v>70716000</v>
      </c>
      <c r="M188" s="15"/>
      <c r="N188" s="15">
        <f t="shared" si="15"/>
        <v>0</v>
      </c>
      <c r="O188" s="15" t="str">
        <f>IF(AND(A188='BANG KE NL'!$M$11,TH!C188="NL",LEFT(D188,1)="N"),"x","")</f>
        <v/>
      </c>
    </row>
    <row r="189" spans="1:15" hidden="1">
      <c r="A189" s="24">
        <f t="shared" si="9"/>
        <v>6</v>
      </c>
      <c r="B189" s="176" t="str">
        <f>IF(AND(MONTH(E189)='IN-NX'!$J$5,'IN-NX'!$D$7=(D189&amp;"/"&amp;C189)),"x","")</f>
        <v/>
      </c>
      <c r="C189" s="173" t="s">
        <v>226</v>
      </c>
      <c r="D189" s="173" t="s">
        <v>216</v>
      </c>
      <c r="E189" s="70">
        <v>42156</v>
      </c>
      <c r="F189" s="62" t="s">
        <v>68</v>
      </c>
      <c r="G189" s="19" t="s">
        <v>178</v>
      </c>
      <c r="H189" s="200" t="s">
        <v>231</v>
      </c>
      <c r="I189" s="57" t="s">
        <v>124</v>
      </c>
      <c r="J189" s="15">
        <v>12000</v>
      </c>
      <c r="K189" s="15">
        <v>5693</v>
      </c>
      <c r="L189" s="15">
        <f t="shared" si="14"/>
        <v>68316000</v>
      </c>
      <c r="M189" s="15"/>
      <c r="N189" s="15">
        <f t="shared" si="15"/>
        <v>0</v>
      </c>
      <c r="O189" s="15" t="str">
        <f>IF(AND(A189='BANG KE NL'!$M$11,TH!C189="NL",LEFT(D189,1)="N"),"x","")</f>
        <v/>
      </c>
    </row>
    <row r="190" spans="1:15" hidden="1">
      <c r="A190" s="24">
        <f t="shared" si="9"/>
        <v>6</v>
      </c>
      <c r="B190" s="176" t="str">
        <f>IF(AND(MONTH(E190)='IN-NX'!$J$5,'IN-NX'!$D$7=(D190&amp;"/"&amp;C190)),"x","")</f>
        <v/>
      </c>
      <c r="C190" s="173" t="s">
        <v>226</v>
      </c>
      <c r="D190" s="173" t="s">
        <v>217</v>
      </c>
      <c r="E190" s="70">
        <v>42160</v>
      </c>
      <c r="F190" s="62" t="s">
        <v>55</v>
      </c>
      <c r="G190" s="19" t="s">
        <v>204</v>
      </c>
      <c r="H190" s="200" t="s">
        <v>231</v>
      </c>
      <c r="I190" s="57" t="s">
        <v>124</v>
      </c>
      <c r="J190" s="15">
        <v>11000</v>
      </c>
      <c r="K190" s="15">
        <v>6510</v>
      </c>
      <c r="L190" s="15">
        <f t="shared" si="14"/>
        <v>71610000</v>
      </c>
      <c r="M190" s="15"/>
      <c r="N190" s="15">
        <f t="shared" si="15"/>
        <v>0</v>
      </c>
      <c r="O190" s="15" t="str">
        <f>IF(AND(A190='BANG KE NL'!$M$11,TH!C190="NL",LEFT(D190,1)="N"),"x","")</f>
        <v/>
      </c>
    </row>
    <row r="191" spans="1:15" hidden="1">
      <c r="A191" s="24">
        <f t="shared" si="9"/>
        <v>6</v>
      </c>
      <c r="B191" s="176" t="str">
        <f>IF(AND(MONTH(E191)='IN-NX'!$J$5,'IN-NX'!$D$7=(D191&amp;"/"&amp;C191)),"x","")</f>
        <v/>
      </c>
      <c r="C191" s="173" t="s">
        <v>226</v>
      </c>
      <c r="D191" s="173" t="s">
        <v>218</v>
      </c>
      <c r="E191" s="70">
        <v>42160</v>
      </c>
      <c r="F191" s="62" t="s">
        <v>55</v>
      </c>
      <c r="G191" s="19" t="s">
        <v>205</v>
      </c>
      <c r="H191" s="200" t="s">
        <v>231</v>
      </c>
      <c r="I191" s="57" t="s">
        <v>124</v>
      </c>
      <c r="J191" s="15">
        <v>11000</v>
      </c>
      <c r="K191" s="15">
        <v>6430</v>
      </c>
      <c r="L191" s="15">
        <f t="shared" si="14"/>
        <v>70730000</v>
      </c>
      <c r="M191" s="15"/>
      <c r="N191" s="15">
        <f t="shared" si="15"/>
        <v>0</v>
      </c>
      <c r="O191" s="15" t="str">
        <f>IF(AND(A191='BANG KE NL'!$M$11,TH!C191="NL",LEFT(D191,1)="N"),"x","")</f>
        <v/>
      </c>
    </row>
    <row r="192" spans="1:15" hidden="1">
      <c r="A192" s="24">
        <f t="shared" si="9"/>
        <v>6</v>
      </c>
      <c r="B192" s="176" t="str">
        <f>IF(AND(MONTH(E192)='IN-NX'!$J$5,'IN-NX'!$D$7=(D192&amp;"/"&amp;C192)),"x","")</f>
        <v/>
      </c>
      <c r="C192" s="173" t="s">
        <v>226</v>
      </c>
      <c r="D192" s="173" t="s">
        <v>219</v>
      </c>
      <c r="E192" s="70">
        <v>42160</v>
      </c>
      <c r="F192" s="62" t="s">
        <v>55</v>
      </c>
      <c r="G192" s="19" t="s">
        <v>206</v>
      </c>
      <c r="H192" s="200" t="s">
        <v>231</v>
      </c>
      <c r="I192" s="57" t="s">
        <v>124</v>
      </c>
      <c r="J192" s="15">
        <v>11000</v>
      </c>
      <c r="K192" s="15">
        <v>6249</v>
      </c>
      <c r="L192" s="15">
        <f t="shared" si="14"/>
        <v>68739000</v>
      </c>
      <c r="M192" s="15"/>
      <c r="N192" s="15">
        <f t="shared" si="15"/>
        <v>0</v>
      </c>
      <c r="O192" s="15" t="str">
        <f>IF(AND(A192='BANG KE NL'!$M$11,TH!C192="NL",LEFT(D192,1)="N"),"x","")</f>
        <v/>
      </c>
    </row>
    <row r="193" spans="1:15" hidden="1">
      <c r="A193" s="24">
        <f t="shared" si="9"/>
        <v>6</v>
      </c>
      <c r="B193" s="176" t="str">
        <f>IF(AND(MONTH(E193)='IN-NX'!$J$5,'IN-NX'!$D$7=(D193&amp;"/"&amp;C193)),"x","")</f>
        <v/>
      </c>
      <c r="C193" s="173" t="s">
        <v>226</v>
      </c>
      <c r="D193" s="173" t="s">
        <v>232</v>
      </c>
      <c r="E193" s="70">
        <v>42160</v>
      </c>
      <c r="F193" s="62" t="s">
        <v>55</v>
      </c>
      <c r="G193" s="19" t="s">
        <v>208</v>
      </c>
      <c r="H193" s="200" t="s">
        <v>231</v>
      </c>
      <c r="I193" s="57" t="s">
        <v>124</v>
      </c>
      <c r="J193" s="15">
        <v>11000</v>
      </c>
      <c r="K193" s="15">
        <v>6689</v>
      </c>
      <c r="L193" s="15">
        <f t="shared" si="14"/>
        <v>73579000</v>
      </c>
      <c r="M193" s="15"/>
      <c r="N193" s="15">
        <f t="shared" si="15"/>
        <v>0</v>
      </c>
      <c r="O193" s="15" t="str">
        <f>IF(AND(A193='BANG KE NL'!$M$11,TH!C193="NL",LEFT(D193,1)="N"),"x","")</f>
        <v/>
      </c>
    </row>
    <row r="194" spans="1:15" hidden="1">
      <c r="A194" s="24">
        <f t="shared" si="9"/>
        <v>6</v>
      </c>
      <c r="B194" s="176" t="str">
        <f>IF(AND(MONTH(E194)='IN-NX'!$J$5,'IN-NX'!$D$7=(D194&amp;"/"&amp;C194)),"x","")</f>
        <v/>
      </c>
      <c r="C194" s="173" t="s">
        <v>226</v>
      </c>
      <c r="D194" s="173" t="s">
        <v>234</v>
      </c>
      <c r="E194" s="70">
        <v>42162</v>
      </c>
      <c r="F194" s="62" t="s">
        <v>68</v>
      </c>
      <c r="G194" s="19" t="s">
        <v>177</v>
      </c>
      <c r="H194" s="200" t="s">
        <v>231</v>
      </c>
      <c r="I194" s="57" t="s">
        <v>124</v>
      </c>
      <c r="J194" s="15">
        <v>12000</v>
      </c>
      <c r="K194" s="15">
        <v>5930</v>
      </c>
      <c r="L194" s="15">
        <f t="shared" si="14"/>
        <v>71160000</v>
      </c>
      <c r="M194" s="15"/>
      <c r="N194" s="15">
        <f t="shared" si="15"/>
        <v>0</v>
      </c>
      <c r="O194" s="15" t="str">
        <f>IF(AND(A194='BANG KE NL'!$M$11,TH!C194="NL",LEFT(D194,1)="N"),"x","")</f>
        <v/>
      </c>
    </row>
    <row r="195" spans="1:15" hidden="1">
      <c r="A195" s="24">
        <f t="shared" si="9"/>
        <v>6</v>
      </c>
      <c r="B195" s="176" t="str">
        <f>IF(AND(MONTH(E195)='IN-NX'!$J$5,'IN-NX'!$D$7=(D195&amp;"/"&amp;C195)),"x","")</f>
        <v/>
      </c>
      <c r="C195" s="173" t="s">
        <v>226</v>
      </c>
      <c r="D195" s="173" t="s">
        <v>235</v>
      </c>
      <c r="E195" s="70">
        <v>42162</v>
      </c>
      <c r="F195" s="62" t="s">
        <v>68</v>
      </c>
      <c r="G195" s="19" t="s">
        <v>179</v>
      </c>
      <c r="H195" s="200" t="s">
        <v>231</v>
      </c>
      <c r="I195" s="57" t="s">
        <v>124</v>
      </c>
      <c r="J195" s="15">
        <v>12000</v>
      </c>
      <c r="K195" s="15">
        <v>6395</v>
      </c>
      <c r="L195" s="15">
        <f t="shared" si="14"/>
        <v>76740000</v>
      </c>
      <c r="M195" s="15"/>
      <c r="N195" s="15">
        <f t="shared" si="15"/>
        <v>0</v>
      </c>
      <c r="O195" s="15" t="str">
        <f>IF(AND(A195='BANG KE NL'!$M$11,TH!C195="NL",LEFT(D195,1)="N"),"x","")</f>
        <v/>
      </c>
    </row>
    <row r="196" spans="1:15" hidden="1">
      <c r="A196" s="24">
        <f t="shared" si="9"/>
        <v>6</v>
      </c>
      <c r="B196" s="176" t="str">
        <f>IF(AND(MONTH(E196)='IN-NX'!$J$5,'IN-NX'!$D$7=(D196&amp;"/"&amp;C196)),"x","")</f>
        <v/>
      </c>
      <c r="C196" s="173" t="s">
        <v>226</v>
      </c>
      <c r="D196" s="173" t="s">
        <v>236</v>
      </c>
      <c r="E196" s="70">
        <v>42164</v>
      </c>
      <c r="F196" s="62" t="s">
        <v>55</v>
      </c>
      <c r="G196" s="19" t="s">
        <v>207</v>
      </c>
      <c r="H196" s="200" t="s">
        <v>231</v>
      </c>
      <c r="I196" s="57" t="s">
        <v>124</v>
      </c>
      <c r="J196" s="15">
        <v>11000</v>
      </c>
      <c r="K196" s="15">
        <v>6978</v>
      </c>
      <c r="L196" s="15">
        <f t="shared" si="14"/>
        <v>76758000</v>
      </c>
      <c r="M196" s="15"/>
      <c r="N196" s="15">
        <f t="shared" si="15"/>
        <v>0</v>
      </c>
      <c r="O196" s="15" t="str">
        <f>IF(AND(A196='BANG KE NL'!$M$11,TH!C196="NL",LEFT(D196,1)="N"),"x","")</f>
        <v/>
      </c>
    </row>
    <row r="197" spans="1:15" hidden="1">
      <c r="A197" s="24">
        <f t="shared" si="9"/>
        <v>6</v>
      </c>
      <c r="B197" s="176" t="str">
        <f>IF(AND(MONTH(E197)='IN-NX'!$J$5,'IN-NX'!$D$7=(D197&amp;"/"&amp;C197)),"x","")</f>
        <v/>
      </c>
      <c r="C197" s="173" t="s">
        <v>226</v>
      </c>
      <c r="D197" s="173" t="s">
        <v>237</v>
      </c>
      <c r="E197" s="70">
        <v>42164</v>
      </c>
      <c r="F197" s="62" t="s">
        <v>55</v>
      </c>
      <c r="G197" s="19" t="s">
        <v>202</v>
      </c>
      <c r="H197" s="200" t="s">
        <v>231</v>
      </c>
      <c r="I197" s="57" t="s">
        <v>124</v>
      </c>
      <c r="J197" s="15">
        <v>11000</v>
      </c>
      <c r="K197" s="15">
        <v>6273</v>
      </c>
      <c r="L197" s="15">
        <f t="shared" si="14"/>
        <v>69003000</v>
      </c>
      <c r="M197" s="15"/>
      <c r="N197" s="15">
        <f t="shared" si="15"/>
        <v>0</v>
      </c>
      <c r="O197" s="15" t="str">
        <f>IF(AND(A197='BANG KE NL'!$M$11,TH!C197="NL",LEFT(D197,1)="N"),"x","")</f>
        <v/>
      </c>
    </row>
    <row r="198" spans="1:15" hidden="1">
      <c r="A198" s="24">
        <f t="shared" ref="A198:A261" si="16">IF(E198&lt;&gt;"",MONTH(E198),"")</f>
        <v>6</v>
      </c>
      <c r="B198" s="176" t="str">
        <f>IF(AND(MONTH(E198)='IN-NX'!$J$5,'IN-NX'!$D$7=(D198&amp;"/"&amp;C198)),"x","")</f>
        <v/>
      </c>
      <c r="C198" s="173" t="s">
        <v>226</v>
      </c>
      <c r="D198" s="173" t="s">
        <v>238</v>
      </c>
      <c r="E198" s="70">
        <v>42164</v>
      </c>
      <c r="F198" s="62" t="s">
        <v>55</v>
      </c>
      <c r="G198" s="19" t="s">
        <v>210</v>
      </c>
      <c r="H198" s="200" t="s">
        <v>231</v>
      </c>
      <c r="I198" s="57" t="s">
        <v>124</v>
      </c>
      <c r="J198" s="15">
        <v>11000</v>
      </c>
      <c r="K198" s="15">
        <v>6893</v>
      </c>
      <c r="L198" s="15">
        <f t="shared" si="14"/>
        <v>75823000</v>
      </c>
      <c r="M198" s="15"/>
      <c r="N198" s="15">
        <f t="shared" si="15"/>
        <v>0</v>
      </c>
      <c r="O198" s="15" t="str">
        <f>IF(AND(A198='BANG KE NL'!$M$11,TH!C198="NL",LEFT(D198,1)="N"),"x","")</f>
        <v/>
      </c>
    </row>
    <row r="199" spans="1:15" hidden="1">
      <c r="A199" s="24">
        <f t="shared" si="16"/>
        <v>6</v>
      </c>
      <c r="B199" s="176" t="str">
        <f>IF(AND(MONTH(E199)='IN-NX'!$J$5,'IN-NX'!$D$7=(D199&amp;"/"&amp;C199)),"x","")</f>
        <v/>
      </c>
      <c r="C199" s="173" t="s">
        <v>226</v>
      </c>
      <c r="D199" s="173" t="s">
        <v>239</v>
      </c>
      <c r="E199" s="70">
        <v>42164</v>
      </c>
      <c r="F199" s="62" t="s">
        <v>55</v>
      </c>
      <c r="G199" s="19" t="s">
        <v>209</v>
      </c>
      <c r="H199" s="200" t="s">
        <v>231</v>
      </c>
      <c r="I199" s="57" t="s">
        <v>124</v>
      </c>
      <c r="J199" s="15">
        <v>11000</v>
      </c>
      <c r="K199" s="15">
        <v>6482</v>
      </c>
      <c r="L199" s="15">
        <f t="shared" si="14"/>
        <v>71302000</v>
      </c>
      <c r="M199" s="15"/>
      <c r="N199" s="15">
        <f t="shared" si="15"/>
        <v>0</v>
      </c>
      <c r="O199" s="15" t="str">
        <f>IF(AND(A199='BANG KE NL'!$M$11,TH!C199="NL",LEFT(D199,1)="N"),"x","")</f>
        <v/>
      </c>
    </row>
    <row r="200" spans="1:15" hidden="1">
      <c r="A200" s="24">
        <f t="shared" si="16"/>
        <v>6</v>
      </c>
      <c r="B200" s="176" t="str">
        <f>IF(AND(MONTH(E200)='IN-NX'!$J$5,'IN-NX'!$D$7=(D200&amp;"/"&amp;C200)),"x","")</f>
        <v/>
      </c>
      <c r="C200" s="173" t="s">
        <v>226</v>
      </c>
      <c r="D200" s="173" t="s">
        <v>240</v>
      </c>
      <c r="E200" s="70">
        <v>42164</v>
      </c>
      <c r="F200" s="62" t="s">
        <v>68</v>
      </c>
      <c r="G200" s="19" t="s">
        <v>176</v>
      </c>
      <c r="H200" s="200" t="s">
        <v>231</v>
      </c>
      <c r="I200" s="57" t="s">
        <v>124</v>
      </c>
      <c r="J200" s="15">
        <v>12000</v>
      </c>
      <c r="K200" s="15">
        <v>5792</v>
      </c>
      <c r="L200" s="15">
        <f t="shared" si="14"/>
        <v>69504000</v>
      </c>
      <c r="M200" s="15"/>
      <c r="N200" s="15">
        <f t="shared" si="15"/>
        <v>0</v>
      </c>
      <c r="O200" s="15" t="str">
        <f>IF(AND(A200='BANG KE NL'!$M$11,TH!C200="NL",LEFT(D200,1)="N"),"x","")</f>
        <v/>
      </c>
    </row>
    <row r="201" spans="1:15" hidden="1">
      <c r="A201" s="24">
        <f t="shared" si="16"/>
        <v>6</v>
      </c>
      <c r="B201" s="176" t="str">
        <f>IF(AND(MONTH(E201)='IN-NX'!$J$5,'IN-NX'!$D$7=(D201&amp;"/"&amp;C201)),"x","")</f>
        <v/>
      </c>
      <c r="C201" s="173" t="s">
        <v>226</v>
      </c>
      <c r="D201" s="173" t="s">
        <v>241</v>
      </c>
      <c r="E201" s="70">
        <v>42164</v>
      </c>
      <c r="F201" s="62" t="s">
        <v>68</v>
      </c>
      <c r="G201" s="19" t="s">
        <v>178</v>
      </c>
      <c r="H201" s="200" t="s">
        <v>231</v>
      </c>
      <c r="I201" s="57" t="s">
        <v>124</v>
      </c>
      <c r="J201" s="15">
        <v>12000</v>
      </c>
      <c r="K201" s="15">
        <v>5460</v>
      </c>
      <c r="L201" s="15">
        <f t="shared" si="14"/>
        <v>65520000</v>
      </c>
      <c r="M201" s="15"/>
      <c r="N201" s="15">
        <f t="shared" si="15"/>
        <v>0</v>
      </c>
      <c r="O201" s="15" t="str">
        <f>IF(AND(A201='BANG KE NL'!$M$11,TH!C201="NL",LEFT(D201,1)="N"),"x","")</f>
        <v/>
      </c>
    </row>
    <row r="202" spans="1:15" hidden="1">
      <c r="A202" s="24">
        <f t="shared" si="16"/>
        <v>6</v>
      </c>
      <c r="B202" s="176" t="str">
        <f>IF(AND(MONTH(E202)='IN-NX'!$J$5,'IN-NX'!$D$7=(D202&amp;"/"&amp;C202)),"x","")</f>
        <v/>
      </c>
      <c r="C202" s="173" t="s">
        <v>226</v>
      </c>
      <c r="D202" s="173" t="s">
        <v>242</v>
      </c>
      <c r="E202" s="70">
        <v>42164</v>
      </c>
      <c r="F202" s="62" t="s">
        <v>68</v>
      </c>
      <c r="G202" s="19" t="s">
        <v>177</v>
      </c>
      <c r="H202" s="200" t="s">
        <v>231</v>
      </c>
      <c r="I202" s="57" t="s">
        <v>124</v>
      </c>
      <c r="J202" s="15">
        <v>12000</v>
      </c>
      <c r="K202" s="15">
        <v>5498</v>
      </c>
      <c r="L202" s="15">
        <f t="shared" si="14"/>
        <v>65976000</v>
      </c>
      <c r="M202" s="15"/>
      <c r="N202" s="15">
        <f t="shared" si="15"/>
        <v>0</v>
      </c>
      <c r="O202" s="15" t="str">
        <f>IF(AND(A202='BANG KE NL'!$M$11,TH!C202="NL",LEFT(D202,1)="N"),"x","")</f>
        <v/>
      </c>
    </row>
    <row r="203" spans="1:15" hidden="1">
      <c r="A203" s="24">
        <f t="shared" si="16"/>
        <v>6</v>
      </c>
      <c r="B203" s="176" t="str">
        <f>IF(AND(MONTH(E203)='IN-NX'!$J$5,'IN-NX'!$D$7=(D203&amp;"/"&amp;C203)),"x","")</f>
        <v/>
      </c>
      <c r="C203" s="173" t="s">
        <v>226</v>
      </c>
      <c r="D203" s="173" t="s">
        <v>243</v>
      </c>
      <c r="E203" s="70">
        <v>42167</v>
      </c>
      <c r="F203" s="62" t="s">
        <v>55</v>
      </c>
      <c r="G203" s="19" t="s">
        <v>211</v>
      </c>
      <c r="H203" s="200" t="s">
        <v>231</v>
      </c>
      <c r="I203" s="57" t="s">
        <v>124</v>
      </c>
      <c r="J203" s="15">
        <v>11000</v>
      </c>
      <c r="K203" s="15">
        <v>6730</v>
      </c>
      <c r="L203" s="15">
        <f t="shared" si="14"/>
        <v>74030000</v>
      </c>
      <c r="M203" s="15"/>
      <c r="N203" s="15">
        <f t="shared" si="15"/>
        <v>0</v>
      </c>
      <c r="O203" s="15" t="str">
        <f>IF(AND(A203='BANG KE NL'!$M$11,TH!C203="NL",LEFT(D203,1)="N"),"x","")</f>
        <v/>
      </c>
    </row>
    <row r="204" spans="1:15" hidden="1">
      <c r="A204" s="24">
        <f t="shared" si="16"/>
        <v>6</v>
      </c>
      <c r="B204" s="176" t="str">
        <f>IF(AND(MONTH(E204)='IN-NX'!$J$5,'IN-NX'!$D$7=(D204&amp;"/"&amp;C204)),"x","")</f>
        <v/>
      </c>
      <c r="C204" s="173" t="s">
        <v>226</v>
      </c>
      <c r="D204" s="173" t="s">
        <v>244</v>
      </c>
      <c r="E204" s="70">
        <v>42167</v>
      </c>
      <c r="F204" s="62" t="s">
        <v>55</v>
      </c>
      <c r="G204" s="19" t="s">
        <v>207</v>
      </c>
      <c r="H204" s="200" t="s">
        <v>231</v>
      </c>
      <c r="I204" s="57" t="s">
        <v>124</v>
      </c>
      <c r="J204" s="15">
        <v>11000</v>
      </c>
      <c r="K204" s="15">
        <v>6482</v>
      </c>
      <c r="L204" s="15">
        <f t="shared" si="14"/>
        <v>71302000</v>
      </c>
      <c r="M204" s="15"/>
      <c r="N204" s="15">
        <f t="shared" si="15"/>
        <v>0</v>
      </c>
      <c r="O204" s="15" t="str">
        <f>IF(AND(A204='BANG KE NL'!$M$11,TH!C204="NL",LEFT(D204,1)="N"),"x","")</f>
        <v/>
      </c>
    </row>
    <row r="205" spans="1:15" hidden="1">
      <c r="A205" s="24">
        <f t="shared" si="16"/>
        <v>6</v>
      </c>
      <c r="B205" s="176" t="str">
        <f>IF(AND(MONTH(E205)='IN-NX'!$J$5,'IN-NX'!$D$7=(D205&amp;"/"&amp;C205)),"x","")</f>
        <v/>
      </c>
      <c r="C205" s="173" t="s">
        <v>226</v>
      </c>
      <c r="D205" s="173" t="s">
        <v>245</v>
      </c>
      <c r="E205" s="70">
        <v>42167</v>
      </c>
      <c r="F205" s="62" t="s">
        <v>55</v>
      </c>
      <c r="G205" s="19" t="s">
        <v>202</v>
      </c>
      <c r="H205" s="200" t="s">
        <v>231</v>
      </c>
      <c r="I205" s="57" t="s">
        <v>124</v>
      </c>
      <c r="J205" s="15">
        <v>11000</v>
      </c>
      <c r="K205" s="15">
        <v>6598</v>
      </c>
      <c r="L205" s="15">
        <f t="shared" si="14"/>
        <v>72578000</v>
      </c>
      <c r="M205" s="15"/>
      <c r="N205" s="15">
        <f t="shared" si="15"/>
        <v>0</v>
      </c>
      <c r="O205" s="15" t="str">
        <f>IF(AND(A205='BANG KE NL'!$M$11,TH!C205="NL",LEFT(D205,1)="N"),"x","")</f>
        <v/>
      </c>
    </row>
    <row r="206" spans="1:15" hidden="1">
      <c r="A206" s="24">
        <f t="shared" si="16"/>
        <v>6</v>
      </c>
      <c r="B206" s="176" t="str">
        <f>IF(AND(MONTH(E206)='IN-NX'!$J$5,'IN-NX'!$D$7=(D206&amp;"/"&amp;C206)),"x","")</f>
        <v/>
      </c>
      <c r="C206" s="173" t="s">
        <v>226</v>
      </c>
      <c r="D206" s="173" t="s">
        <v>246</v>
      </c>
      <c r="E206" s="70">
        <v>42167</v>
      </c>
      <c r="F206" s="62" t="s">
        <v>55</v>
      </c>
      <c r="G206" s="19" t="s">
        <v>210</v>
      </c>
      <c r="H206" s="200" t="s">
        <v>231</v>
      </c>
      <c r="I206" s="57" t="s">
        <v>124</v>
      </c>
      <c r="J206" s="15">
        <v>11000</v>
      </c>
      <c r="K206" s="15">
        <v>6493</v>
      </c>
      <c r="L206" s="15">
        <f t="shared" si="14"/>
        <v>71423000</v>
      </c>
      <c r="M206" s="15"/>
      <c r="N206" s="15">
        <f t="shared" si="15"/>
        <v>0</v>
      </c>
      <c r="O206" s="15" t="str">
        <f>IF(AND(A206='BANG KE NL'!$M$11,TH!C206="NL",LEFT(D206,1)="N"),"x","")</f>
        <v/>
      </c>
    </row>
    <row r="207" spans="1:15" hidden="1">
      <c r="A207" s="24">
        <f t="shared" si="16"/>
        <v>6</v>
      </c>
      <c r="B207" s="176" t="str">
        <f>IF(AND(MONTH(E207)='IN-NX'!$J$5,'IN-NX'!$D$7=(D207&amp;"/"&amp;C207)),"x","")</f>
        <v/>
      </c>
      <c r="C207" s="173" t="s">
        <v>226</v>
      </c>
      <c r="D207" s="173" t="s">
        <v>247</v>
      </c>
      <c r="E207" s="70">
        <v>42169</v>
      </c>
      <c r="F207" s="62" t="s">
        <v>55</v>
      </c>
      <c r="G207" s="19" t="s">
        <v>209</v>
      </c>
      <c r="H207" s="200" t="s">
        <v>231</v>
      </c>
      <c r="I207" s="57" t="s">
        <v>124</v>
      </c>
      <c r="J207" s="15">
        <v>11000</v>
      </c>
      <c r="K207" s="15">
        <v>6348</v>
      </c>
      <c r="L207" s="15">
        <f t="shared" si="14"/>
        <v>69828000</v>
      </c>
      <c r="M207" s="15"/>
      <c r="N207" s="15">
        <f t="shared" si="15"/>
        <v>0</v>
      </c>
      <c r="O207" s="15" t="str">
        <f>IF(AND(A207='BANG KE NL'!$M$11,TH!C207="NL",LEFT(D207,1)="N"),"x","")</f>
        <v/>
      </c>
    </row>
    <row r="208" spans="1:15" hidden="1">
      <c r="A208" s="24">
        <f t="shared" si="16"/>
        <v>6</v>
      </c>
      <c r="B208" s="176" t="str">
        <f>IF(AND(MONTH(E208)='IN-NX'!$J$5,'IN-NX'!$D$7=(D208&amp;"/"&amp;C208)),"x","")</f>
        <v/>
      </c>
      <c r="C208" s="173" t="s">
        <v>226</v>
      </c>
      <c r="D208" s="173" t="s">
        <v>248</v>
      </c>
      <c r="E208" s="70">
        <v>42169</v>
      </c>
      <c r="F208" s="62" t="s">
        <v>55</v>
      </c>
      <c r="G208" s="19" t="s">
        <v>211</v>
      </c>
      <c r="H208" s="200" t="s">
        <v>231</v>
      </c>
      <c r="I208" s="57" t="s">
        <v>124</v>
      </c>
      <c r="J208" s="15">
        <v>11000</v>
      </c>
      <c r="K208" s="15">
        <v>6792</v>
      </c>
      <c r="L208" s="15">
        <f t="shared" si="14"/>
        <v>74712000</v>
      </c>
      <c r="M208" s="15"/>
      <c r="N208" s="15">
        <f t="shared" si="15"/>
        <v>0</v>
      </c>
      <c r="O208" s="15" t="str">
        <f>IF(AND(A208='BANG KE NL'!$M$11,TH!C208="NL",LEFT(D208,1)="N"),"x","")</f>
        <v/>
      </c>
    </row>
    <row r="209" spans="1:15" hidden="1">
      <c r="A209" s="24">
        <f t="shared" si="16"/>
        <v>6</v>
      </c>
      <c r="B209" s="176" t="str">
        <f>IF(AND(MONTH(E209)='IN-NX'!$J$5,'IN-NX'!$D$7=(D209&amp;"/"&amp;C209)),"x","")</f>
        <v/>
      </c>
      <c r="C209" s="173" t="s">
        <v>226</v>
      </c>
      <c r="D209" s="173" t="s">
        <v>249</v>
      </c>
      <c r="E209" s="70">
        <v>42169</v>
      </c>
      <c r="F209" s="62" t="s">
        <v>55</v>
      </c>
      <c r="G209" s="19" t="s">
        <v>204</v>
      </c>
      <c r="H209" s="200" t="s">
        <v>231</v>
      </c>
      <c r="I209" s="57" t="s">
        <v>124</v>
      </c>
      <c r="J209" s="15">
        <v>11000</v>
      </c>
      <c r="K209" s="15">
        <v>6489</v>
      </c>
      <c r="L209" s="15">
        <f t="shared" si="14"/>
        <v>71379000</v>
      </c>
      <c r="M209" s="15"/>
      <c r="N209" s="15">
        <f t="shared" si="15"/>
        <v>0</v>
      </c>
      <c r="O209" s="15" t="str">
        <f>IF(AND(A209='BANG KE NL'!$M$11,TH!C209="NL",LEFT(D209,1)="N"),"x","")</f>
        <v/>
      </c>
    </row>
    <row r="210" spans="1:15" hidden="1">
      <c r="A210" s="24">
        <f t="shared" si="16"/>
        <v>6</v>
      </c>
      <c r="B210" s="176" t="str">
        <f>IF(AND(MONTH(E210)='IN-NX'!$J$5,'IN-NX'!$D$7=(D210&amp;"/"&amp;C210)),"x","")</f>
        <v/>
      </c>
      <c r="C210" s="173" t="s">
        <v>226</v>
      </c>
      <c r="D210" s="173" t="s">
        <v>250</v>
      </c>
      <c r="E210" s="70">
        <v>42169</v>
      </c>
      <c r="F210" s="62" t="s">
        <v>55</v>
      </c>
      <c r="G210" s="19" t="s">
        <v>205</v>
      </c>
      <c r="H210" s="200" t="s">
        <v>231</v>
      </c>
      <c r="I210" s="57" t="s">
        <v>124</v>
      </c>
      <c r="J210" s="15">
        <v>11000</v>
      </c>
      <c r="K210" s="15">
        <v>6930</v>
      </c>
      <c r="L210" s="15">
        <f t="shared" si="14"/>
        <v>76230000</v>
      </c>
      <c r="M210" s="15"/>
      <c r="N210" s="15">
        <f t="shared" si="15"/>
        <v>0</v>
      </c>
      <c r="O210" s="15" t="str">
        <f>IF(AND(A210='BANG KE NL'!$M$11,TH!C210="NL",LEFT(D210,1)="N"),"x","")</f>
        <v/>
      </c>
    </row>
    <row r="211" spans="1:15" hidden="1">
      <c r="A211" s="24">
        <f t="shared" si="16"/>
        <v>6</v>
      </c>
      <c r="B211" s="176" t="str">
        <f>IF(AND(MONTH(E211)='IN-NX'!$J$5,'IN-NX'!$D$7=(D211&amp;"/"&amp;C211)),"x","")</f>
        <v/>
      </c>
      <c r="C211" s="173" t="s">
        <v>226</v>
      </c>
      <c r="D211" s="173" t="s">
        <v>251</v>
      </c>
      <c r="E211" s="70">
        <v>42170</v>
      </c>
      <c r="F211" s="62" t="s">
        <v>387</v>
      </c>
      <c r="G211" s="19" t="s">
        <v>205</v>
      </c>
      <c r="H211" s="200" t="s">
        <v>231</v>
      </c>
      <c r="I211" s="57" t="s">
        <v>124</v>
      </c>
      <c r="J211" s="15">
        <v>24500</v>
      </c>
      <c r="K211" s="15">
        <v>4850</v>
      </c>
      <c r="L211" s="15">
        <f t="shared" si="14"/>
        <v>118825000</v>
      </c>
      <c r="M211" s="15"/>
      <c r="N211" s="15">
        <f t="shared" si="15"/>
        <v>0</v>
      </c>
      <c r="O211" s="15" t="str">
        <f>IF(AND(A211='BANG KE NL'!$M$11,TH!C211="NL",LEFT(D211,1)="N"),"x","")</f>
        <v/>
      </c>
    </row>
    <row r="212" spans="1:15" hidden="1">
      <c r="A212" s="24">
        <f t="shared" si="16"/>
        <v>6</v>
      </c>
      <c r="B212" s="176" t="str">
        <f>IF(AND(MONTH(E212)='IN-NX'!$J$5,'IN-NX'!$D$7=(D212&amp;"/"&amp;C212)),"x","")</f>
        <v/>
      </c>
      <c r="C212" s="173" t="s">
        <v>226</v>
      </c>
      <c r="D212" s="173" t="s">
        <v>252</v>
      </c>
      <c r="E212" s="70">
        <v>42170</v>
      </c>
      <c r="F212" s="62" t="s">
        <v>387</v>
      </c>
      <c r="G212" s="19" t="s">
        <v>206</v>
      </c>
      <c r="H212" s="200" t="s">
        <v>231</v>
      </c>
      <c r="I212" s="57" t="s">
        <v>124</v>
      </c>
      <c r="J212" s="15">
        <v>24500</v>
      </c>
      <c r="K212" s="15">
        <v>4460</v>
      </c>
      <c r="L212" s="15">
        <f t="shared" si="14"/>
        <v>109270000</v>
      </c>
      <c r="M212" s="15"/>
      <c r="N212" s="15">
        <f t="shared" si="15"/>
        <v>0</v>
      </c>
      <c r="O212" s="15" t="str">
        <f>IF(AND(A212='BANG KE NL'!$M$11,TH!C212="NL",LEFT(D212,1)="N"),"x","")</f>
        <v/>
      </c>
    </row>
    <row r="213" spans="1:15" hidden="1">
      <c r="A213" s="24">
        <f t="shared" si="16"/>
        <v>6</v>
      </c>
      <c r="B213" s="176" t="str">
        <f>IF(AND(MONTH(E213)='IN-NX'!$J$5,'IN-NX'!$D$7=(D213&amp;"/"&amp;C213)),"x","")</f>
        <v/>
      </c>
      <c r="C213" s="173" t="s">
        <v>226</v>
      </c>
      <c r="D213" s="173" t="s">
        <v>253</v>
      </c>
      <c r="E213" s="70">
        <v>42170</v>
      </c>
      <c r="F213" s="62" t="s">
        <v>387</v>
      </c>
      <c r="G213" s="19" t="s">
        <v>208</v>
      </c>
      <c r="H213" s="200" t="s">
        <v>231</v>
      </c>
      <c r="I213" s="57" t="s">
        <v>124</v>
      </c>
      <c r="J213" s="15">
        <v>24500</v>
      </c>
      <c r="K213" s="15">
        <v>5090</v>
      </c>
      <c r="L213" s="15">
        <f t="shared" si="14"/>
        <v>124705000</v>
      </c>
      <c r="M213" s="15"/>
      <c r="N213" s="15">
        <f t="shared" si="15"/>
        <v>0</v>
      </c>
      <c r="O213" s="15" t="str">
        <f>IF(AND(A213='BANG KE NL'!$M$11,TH!C213="NL",LEFT(D213,1)="N"),"x","")</f>
        <v/>
      </c>
    </row>
    <row r="214" spans="1:15" hidden="1">
      <c r="A214" s="24">
        <f t="shared" si="16"/>
        <v>6</v>
      </c>
      <c r="B214" s="176" t="str">
        <f>IF(AND(MONTH(E214)='IN-NX'!$J$5,'IN-NX'!$D$7=(D214&amp;"/"&amp;C214)),"x","")</f>
        <v/>
      </c>
      <c r="C214" s="173" t="s">
        <v>226</v>
      </c>
      <c r="D214" s="173" t="s">
        <v>254</v>
      </c>
      <c r="E214" s="70">
        <v>42171</v>
      </c>
      <c r="F214" s="62" t="s">
        <v>55</v>
      </c>
      <c r="G214" s="19" t="s">
        <v>206</v>
      </c>
      <c r="H214" s="200" t="s">
        <v>231</v>
      </c>
      <c r="I214" s="57" t="s">
        <v>124</v>
      </c>
      <c r="J214" s="15">
        <v>11000</v>
      </c>
      <c r="K214" s="15">
        <v>6670</v>
      </c>
      <c r="L214" s="15">
        <f t="shared" si="14"/>
        <v>73370000</v>
      </c>
      <c r="M214" s="15"/>
      <c r="N214" s="15">
        <f t="shared" si="15"/>
        <v>0</v>
      </c>
      <c r="O214" s="15" t="str">
        <f>IF(AND(A214='BANG KE NL'!$M$11,TH!C214="NL",LEFT(D214,1)="N"),"x","")</f>
        <v/>
      </c>
    </row>
    <row r="215" spans="1:15" hidden="1">
      <c r="A215" s="24">
        <f t="shared" si="16"/>
        <v>6</v>
      </c>
      <c r="B215" s="176" t="str">
        <f>IF(AND(MONTH(E215)='IN-NX'!$J$5,'IN-NX'!$D$7=(D215&amp;"/"&amp;C215)),"x","")</f>
        <v/>
      </c>
      <c r="C215" s="173" t="s">
        <v>226</v>
      </c>
      <c r="D215" s="173" t="s">
        <v>255</v>
      </c>
      <c r="E215" s="70">
        <v>42171</v>
      </c>
      <c r="F215" s="62" t="s">
        <v>55</v>
      </c>
      <c r="G215" s="19" t="s">
        <v>208</v>
      </c>
      <c r="H215" s="200" t="s">
        <v>231</v>
      </c>
      <c r="I215" s="57" t="s">
        <v>124</v>
      </c>
      <c r="J215" s="15">
        <v>11000</v>
      </c>
      <c r="K215" s="15">
        <v>6830</v>
      </c>
      <c r="L215" s="15">
        <f t="shared" si="14"/>
        <v>75130000</v>
      </c>
      <c r="M215" s="15"/>
      <c r="N215" s="15">
        <f t="shared" si="15"/>
        <v>0</v>
      </c>
      <c r="O215" s="15" t="str">
        <f>IF(AND(A215='BANG KE NL'!$M$11,TH!C215="NL",LEFT(D215,1)="N"),"x","")</f>
        <v/>
      </c>
    </row>
    <row r="216" spans="1:15" hidden="1">
      <c r="A216" s="24">
        <f t="shared" si="16"/>
        <v>6</v>
      </c>
      <c r="B216" s="176" t="str">
        <f>IF(AND(MONTH(E216)='IN-NX'!$J$5,'IN-NX'!$D$7=(D216&amp;"/"&amp;C216)),"x","")</f>
        <v/>
      </c>
      <c r="C216" s="173" t="s">
        <v>226</v>
      </c>
      <c r="D216" s="173" t="s">
        <v>256</v>
      </c>
      <c r="E216" s="70">
        <v>42171</v>
      </c>
      <c r="F216" s="62" t="s">
        <v>55</v>
      </c>
      <c r="G216" s="19" t="s">
        <v>207</v>
      </c>
      <c r="H216" s="200" t="s">
        <v>231</v>
      </c>
      <c r="I216" s="57" t="s">
        <v>124</v>
      </c>
      <c r="J216" s="15">
        <v>11000</v>
      </c>
      <c r="K216" s="15">
        <v>6690</v>
      </c>
      <c r="L216" s="15">
        <f t="shared" si="14"/>
        <v>73590000</v>
      </c>
      <c r="M216" s="15"/>
      <c r="N216" s="15">
        <f t="shared" si="15"/>
        <v>0</v>
      </c>
      <c r="O216" s="15" t="str">
        <f>IF(AND(A216='BANG KE NL'!$M$11,TH!C216="NL",LEFT(D216,1)="N"),"x","")</f>
        <v/>
      </c>
    </row>
    <row r="217" spans="1:15" hidden="1">
      <c r="A217" s="24">
        <f t="shared" si="16"/>
        <v>6</v>
      </c>
      <c r="B217" s="176" t="str">
        <f>IF(AND(MONTH(E217)='IN-NX'!$J$5,'IN-NX'!$D$7=(D217&amp;"/"&amp;C217)),"x","")</f>
        <v/>
      </c>
      <c r="C217" s="173" t="s">
        <v>226</v>
      </c>
      <c r="D217" s="173" t="s">
        <v>257</v>
      </c>
      <c r="E217" s="70">
        <v>42171</v>
      </c>
      <c r="F217" s="62" t="s">
        <v>55</v>
      </c>
      <c r="G217" s="19" t="s">
        <v>202</v>
      </c>
      <c r="H217" s="200" t="s">
        <v>231</v>
      </c>
      <c r="I217" s="57" t="s">
        <v>124</v>
      </c>
      <c r="J217" s="15">
        <v>11000</v>
      </c>
      <c r="K217" s="15">
        <v>6444</v>
      </c>
      <c r="L217" s="15">
        <f t="shared" si="14"/>
        <v>70884000</v>
      </c>
      <c r="M217" s="15"/>
      <c r="N217" s="15">
        <f t="shared" si="15"/>
        <v>0</v>
      </c>
      <c r="O217" s="15" t="str">
        <f>IF(AND(A217='BANG KE NL'!$M$11,TH!C217="NL",LEFT(D217,1)="N"),"x","")</f>
        <v/>
      </c>
    </row>
    <row r="218" spans="1:15" hidden="1">
      <c r="A218" s="24">
        <f t="shared" si="16"/>
        <v>6</v>
      </c>
      <c r="B218" s="176" t="str">
        <f>IF(AND(MONTH(E218)='IN-NX'!$J$5,'IN-NX'!$D$7=(D218&amp;"/"&amp;C218)),"x","")</f>
        <v/>
      </c>
      <c r="C218" s="173" t="s">
        <v>226</v>
      </c>
      <c r="D218" s="173" t="s">
        <v>258</v>
      </c>
      <c r="E218" s="70">
        <v>42176</v>
      </c>
      <c r="F218" s="62" t="s">
        <v>68</v>
      </c>
      <c r="G218" s="19" t="s">
        <v>176</v>
      </c>
      <c r="H218" s="200" t="s">
        <v>231</v>
      </c>
      <c r="I218" s="57" t="s">
        <v>124</v>
      </c>
      <c r="J218" s="15">
        <v>17500</v>
      </c>
      <c r="K218" s="15">
        <v>5579</v>
      </c>
      <c r="L218" s="15">
        <f t="shared" si="14"/>
        <v>97632500</v>
      </c>
      <c r="M218" s="15"/>
      <c r="N218" s="15">
        <f t="shared" si="15"/>
        <v>0</v>
      </c>
      <c r="O218" s="15" t="str">
        <f>IF(AND(A218='BANG KE NL'!$M$11,TH!C218="NL",LEFT(D218,1)="N"),"x","")</f>
        <v/>
      </c>
    </row>
    <row r="219" spans="1:15" hidden="1">
      <c r="A219" s="24">
        <f t="shared" si="16"/>
        <v>6</v>
      </c>
      <c r="B219" s="176" t="str">
        <f>IF(AND(MONTH(E219)='IN-NX'!$J$5,'IN-NX'!$D$7=(D219&amp;"/"&amp;C219)),"x","")</f>
        <v/>
      </c>
      <c r="C219" s="173" t="s">
        <v>226</v>
      </c>
      <c r="D219" s="173" t="s">
        <v>259</v>
      </c>
      <c r="E219" s="70">
        <v>42176</v>
      </c>
      <c r="F219" s="62" t="s">
        <v>68</v>
      </c>
      <c r="G219" s="19" t="s">
        <v>178</v>
      </c>
      <c r="H219" s="200" t="s">
        <v>231</v>
      </c>
      <c r="I219" s="57" t="s">
        <v>124</v>
      </c>
      <c r="J219" s="15">
        <v>17500</v>
      </c>
      <c r="K219" s="15">
        <v>5660</v>
      </c>
      <c r="L219" s="15">
        <f t="shared" si="14"/>
        <v>99050000</v>
      </c>
      <c r="M219" s="15"/>
      <c r="N219" s="15">
        <f t="shared" si="15"/>
        <v>0</v>
      </c>
      <c r="O219" s="15" t="str">
        <f>IF(AND(A219='BANG KE NL'!$M$11,TH!C219="NL",LEFT(D219,1)="N"),"x","")</f>
        <v/>
      </c>
    </row>
    <row r="220" spans="1:15" hidden="1">
      <c r="A220" s="24">
        <f t="shared" si="16"/>
        <v>6</v>
      </c>
      <c r="B220" s="176" t="str">
        <f>IF(AND(MONTH(E220)='IN-NX'!$J$5,'IN-NX'!$D$7=(D220&amp;"/"&amp;C220)),"x","")</f>
        <v/>
      </c>
      <c r="C220" s="173" t="s">
        <v>226</v>
      </c>
      <c r="D220" s="173" t="s">
        <v>260</v>
      </c>
      <c r="E220" s="70">
        <v>42176</v>
      </c>
      <c r="F220" s="62" t="s">
        <v>68</v>
      </c>
      <c r="G220" s="19" t="s">
        <v>177</v>
      </c>
      <c r="H220" s="200" t="s">
        <v>231</v>
      </c>
      <c r="I220" s="57" t="s">
        <v>124</v>
      </c>
      <c r="J220" s="15">
        <v>17500</v>
      </c>
      <c r="K220" s="15">
        <v>5896</v>
      </c>
      <c r="L220" s="15">
        <f t="shared" si="14"/>
        <v>103180000</v>
      </c>
      <c r="M220" s="15"/>
      <c r="N220" s="15">
        <f t="shared" si="15"/>
        <v>0</v>
      </c>
      <c r="O220" s="15" t="str">
        <f>IF(AND(A220='BANG KE NL'!$M$11,TH!C220="NL",LEFT(D220,1)="N"),"x","")</f>
        <v/>
      </c>
    </row>
    <row r="221" spans="1:15" hidden="1">
      <c r="A221" s="24">
        <f t="shared" si="16"/>
        <v>6</v>
      </c>
      <c r="B221" s="176" t="str">
        <f>IF(AND(MONTH(E221)='IN-NX'!$J$5,'IN-NX'!$D$7=(D221&amp;"/"&amp;C221)),"x","")</f>
        <v/>
      </c>
      <c r="C221" s="173" t="s">
        <v>226</v>
      </c>
      <c r="D221" s="173" t="s">
        <v>261</v>
      </c>
      <c r="E221" s="70">
        <v>42176</v>
      </c>
      <c r="F221" s="62" t="s">
        <v>68</v>
      </c>
      <c r="G221" s="19" t="s">
        <v>180</v>
      </c>
      <c r="H221" s="200" t="s">
        <v>231</v>
      </c>
      <c r="I221" s="57" t="s">
        <v>124</v>
      </c>
      <c r="J221" s="15">
        <v>17500</v>
      </c>
      <c r="K221" s="15">
        <f>6843-1408</f>
        <v>5435</v>
      </c>
      <c r="L221" s="15">
        <f t="shared" si="14"/>
        <v>95112500</v>
      </c>
      <c r="M221" s="15"/>
      <c r="N221" s="15">
        <f t="shared" si="15"/>
        <v>0</v>
      </c>
      <c r="O221" s="15" t="str">
        <f>IF(AND(A221='BANG KE NL'!$M$11,TH!C221="NL",LEFT(D221,1)="N"),"x","")</f>
        <v/>
      </c>
    </row>
    <row r="222" spans="1:15" hidden="1">
      <c r="A222" s="24">
        <f t="shared" si="16"/>
        <v>6</v>
      </c>
      <c r="B222" s="176" t="str">
        <f>IF(AND(MONTH(E222)='IN-NX'!$J$5,'IN-NX'!$D$7=(D222&amp;"/"&amp;C222)),"x","")</f>
        <v/>
      </c>
      <c r="C222" s="173" t="s">
        <v>226</v>
      </c>
      <c r="D222" s="173" t="s">
        <v>262</v>
      </c>
      <c r="E222" s="70">
        <v>42180</v>
      </c>
      <c r="F222" s="62" t="s">
        <v>68</v>
      </c>
      <c r="G222" s="19" t="s">
        <v>181</v>
      </c>
      <c r="H222" s="200" t="s">
        <v>231</v>
      </c>
      <c r="I222" s="57" t="s">
        <v>124</v>
      </c>
      <c r="J222" s="15">
        <v>17500</v>
      </c>
      <c r="K222" s="15">
        <v>5450</v>
      </c>
      <c r="L222" s="15">
        <f t="shared" si="14"/>
        <v>95375000</v>
      </c>
      <c r="M222" s="15"/>
      <c r="N222" s="15">
        <f t="shared" si="15"/>
        <v>0</v>
      </c>
      <c r="O222" s="15" t="str">
        <f>IF(AND(A222='BANG KE NL'!$M$11,TH!C222="NL",LEFT(D222,1)="N"),"x","")</f>
        <v/>
      </c>
    </row>
    <row r="223" spans="1:15" hidden="1">
      <c r="A223" s="24">
        <f t="shared" si="16"/>
        <v>6</v>
      </c>
      <c r="B223" s="176" t="str">
        <f>IF(AND(MONTH(E223)='IN-NX'!$J$5,'IN-NX'!$D$7=(D223&amp;"/"&amp;C223)),"x","")</f>
        <v/>
      </c>
      <c r="C223" s="173" t="s">
        <v>226</v>
      </c>
      <c r="D223" s="173" t="s">
        <v>263</v>
      </c>
      <c r="E223" s="70">
        <v>42180</v>
      </c>
      <c r="F223" s="62" t="s">
        <v>68</v>
      </c>
      <c r="G223" s="19" t="s">
        <v>189</v>
      </c>
      <c r="H223" s="200" t="s">
        <v>231</v>
      </c>
      <c r="I223" s="57" t="s">
        <v>124</v>
      </c>
      <c r="J223" s="15">
        <v>17500</v>
      </c>
      <c r="K223" s="15">
        <v>5730</v>
      </c>
      <c r="L223" s="15">
        <f t="shared" si="14"/>
        <v>100275000</v>
      </c>
      <c r="M223" s="15"/>
      <c r="N223" s="15">
        <f t="shared" si="15"/>
        <v>0</v>
      </c>
      <c r="O223" s="15" t="str">
        <f>IF(AND(A223='BANG KE NL'!$M$11,TH!C223="NL",LEFT(D223,1)="N"),"x","")</f>
        <v/>
      </c>
    </row>
    <row r="224" spans="1:15" hidden="1">
      <c r="A224" s="24">
        <f t="shared" si="16"/>
        <v>6</v>
      </c>
      <c r="B224" s="176" t="str">
        <f>IF(AND(MONTH(E224)='IN-NX'!$J$5,'IN-NX'!$D$7=(D224&amp;"/"&amp;C224)),"x","")</f>
        <v/>
      </c>
      <c r="C224" s="173" t="s">
        <v>226</v>
      </c>
      <c r="D224" s="173" t="s">
        <v>220</v>
      </c>
      <c r="E224" s="70">
        <v>42156</v>
      </c>
      <c r="F224" s="62" t="s">
        <v>68</v>
      </c>
      <c r="G224" s="19" t="s">
        <v>229</v>
      </c>
      <c r="H224" s="200" t="s">
        <v>97</v>
      </c>
      <c r="I224" s="57" t="s">
        <v>231</v>
      </c>
      <c r="J224" s="15">
        <v>12000</v>
      </c>
      <c r="K224" s="15"/>
      <c r="L224" s="15">
        <f t="shared" si="14"/>
        <v>0</v>
      </c>
      <c r="M224" s="15">
        <v>18175</v>
      </c>
      <c r="N224" s="15">
        <f t="shared" si="15"/>
        <v>218100000</v>
      </c>
      <c r="O224" s="15" t="str">
        <f>IF(AND(A224='BANG KE NL'!$M$11,TH!C224="NL",LEFT(D224,1)="N"),"x","")</f>
        <v/>
      </c>
    </row>
    <row r="225" spans="1:15" hidden="1">
      <c r="A225" s="24">
        <f t="shared" si="16"/>
        <v>6</v>
      </c>
      <c r="B225" s="176" t="str">
        <f>IF(AND(MONTH(E225)='IN-NX'!$J$5,'IN-NX'!$D$7=(D225&amp;"/"&amp;C225)),"x","")</f>
        <v/>
      </c>
      <c r="C225" s="173" t="s">
        <v>226</v>
      </c>
      <c r="D225" s="173" t="s">
        <v>221</v>
      </c>
      <c r="E225" s="70">
        <v>42160</v>
      </c>
      <c r="F225" s="62" t="s">
        <v>55</v>
      </c>
      <c r="G225" s="19" t="s">
        <v>229</v>
      </c>
      <c r="H225" s="200" t="s">
        <v>97</v>
      </c>
      <c r="I225" s="57" t="s">
        <v>231</v>
      </c>
      <c r="J225" s="15">
        <v>11000</v>
      </c>
      <c r="K225" s="15"/>
      <c r="L225" s="15">
        <f t="shared" si="14"/>
        <v>0</v>
      </c>
      <c r="M225" s="15">
        <v>25878</v>
      </c>
      <c r="N225" s="15">
        <f t="shared" si="15"/>
        <v>284658000</v>
      </c>
      <c r="O225" s="15" t="str">
        <f>IF(AND(A225='BANG KE NL'!$M$11,TH!C225="NL",LEFT(D225,1)="N"),"x","")</f>
        <v/>
      </c>
    </row>
    <row r="226" spans="1:15" hidden="1">
      <c r="A226" s="24">
        <f t="shared" si="16"/>
        <v>6</v>
      </c>
      <c r="B226" s="176" t="str">
        <f>IF(AND(MONTH(E226)='IN-NX'!$J$5,'IN-NX'!$D$7=(D226&amp;"/"&amp;C226)),"x","")</f>
        <v/>
      </c>
      <c r="C226" s="173" t="s">
        <v>226</v>
      </c>
      <c r="D226" s="173" t="s">
        <v>222</v>
      </c>
      <c r="E226" s="70">
        <v>42162</v>
      </c>
      <c r="F226" s="62" t="s">
        <v>68</v>
      </c>
      <c r="G226" s="19" t="s">
        <v>229</v>
      </c>
      <c r="H226" s="200" t="s">
        <v>97</v>
      </c>
      <c r="I226" s="57" t="s">
        <v>231</v>
      </c>
      <c r="J226" s="15">
        <v>12000</v>
      </c>
      <c r="K226" s="15"/>
      <c r="L226" s="15">
        <f t="shared" si="14"/>
        <v>0</v>
      </c>
      <c r="M226" s="15">
        <v>12325</v>
      </c>
      <c r="N226" s="15">
        <f t="shared" si="15"/>
        <v>147900000</v>
      </c>
      <c r="O226" s="15" t="str">
        <f>IF(AND(A226='BANG KE NL'!$M$11,TH!C226="NL",LEFT(D226,1)="N"),"x","")</f>
        <v/>
      </c>
    </row>
    <row r="227" spans="1:15" hidden="1">
      <c r="A227" s="24">
        <f t="shared" si="16"/>
        <v>6</v>
      </c>
      <c r="B227" s="176" t="str">
        <f>IF(AND(MONTH(E227)='IN-NX'!$J$5,'IN-NX'!$D$7=(D227&amp;"/"&amp;C227)),"x","")</f>
        <v/>
      </c>
      <c r="C227" s="173" t="s">
        <v>226</v>
      </c>
      <c r="D227" s="173" t="s">
        <v>223</v>
      </c>
      <c r="E227" s="70">
        <v>42164</v>
      </c>
      <c r="F227" s="62" t="s">
        <v>55</v>
      </c>
      <c r="G227" s="19" t="s">
        <v>229</v>
      </c>
      <c r="H227" s="200" t="s">
        <v>97</v>
      </c>
      <c r="I227" s="57" t="s">
        <v>231</v>
      </c>
      <c r="J227" s="15">
        <v>11000</v>
      </c>
      <c r="K227" s="15"/>
      <c r="L227" s="15">
        <f t="shared" si="14"/>
        <v>0</v>
      </c>
      <c r="M227" s="15">
        <v>26626</v>
      </c>
      <c r="N227" s="15">
        <f t="shared" si="15"/>
        <v>292886000</v>
      </c>
      <c r="O227" s="15" t="str">
        <f>IF(AND(A227='BANG KE NL'!$M$11,TH!C227="NL",LEFT(D227,1)="N"),"x","")</f>
        <v/>
      </c>
    </row>
    <row r="228" spans="1:15" hidden="1">
      <c r="A228" s="24">
        <f t="shared" si="16"/>
        <v>6</v>
      </c>
      <c r="B228" s="176" t="str">
        <f>IF(AND(MONTH(E228)='IN-NX'!$J$5,'IN-NX'!$D$7=(D228&amp;"/"&amp;C228)),"x","")</f>
        <v/>
      </c>
      <c r="C228" s="173" t="s">
        <v>226</v>
      </c>
      <c r="D228" s="173" t="s">
        <v>223</v>
      </c>
      <c r="E228" s="70">
        <v>42164</v>
      </c>
      <c r="F228" s="62" t="s">
        <v>68</v>
      </c>
      <c r="G228" s="19" t="s">
        <v>229</v>
      </c>
      <c r="H228" s="200" t="s">
        <v>97</v>
      </c>
      <c r="I228" s="57" t="s">
        <v>231</v>
      </c>
      <c r="J228" s="15">
        <v>12000</v>
      </c>
      <c r="K228" s="15"/>
      <c r="L228" s="15">
        <f t="shared" si="14"/>
        <v>0</v>
      </c>
      <c r="M228" s="15">
        <v>16750</v>
      </c>
      <c r="N228" s="15">
        <f t="shared" si="15"/>
        <v>201000000</v>
      </c>
      <c r="O228" s="15" t="str">
        <f>IF(AND(A228='BANG KE NL'!$M$11,TH!C228="NL",LEFT(D228,1)="N"),"x","")</f>
        <v/>
      </c>
    </row>
    <row r="229" spans="1:15" hidden="1">
      <c r="A229" s="24">
        <f t="shared" si="16"/>
        <v>6</v>
      </c>
      <c r="B229" s="176" t="str">
        <f>IF(AND(MONTH(E229)='IN-NX'!$J$5,'IN-NX'!$D$7=(D229&amp;"/"&amp;C229)),"x","")</f>
        <v/>
      </c>
      <c r="C229" s="173" t="s">
        <v>226</v>
      </c>
      <c r="D229" s="173" t="s">
        <v>230</v>
      </c>
      <c r="E229" s="70">
        <v>42167</v>
      </c>
      <c r="F229" s="62" t="s">
        <v>55</v>
      </c>
      <c r="G229" s="19" t="s">
        <v>229</v>
      </c>
      <c r="H229" s="200" t="s">
        <v>97</v>
      </c>
      <c r="I229" s="57" t="s">
        <v>231</v>
      </c>
      <c r="J229" s="15">
        <v>11000</v>
      </c>
      <c r="K229" s="15"/>
      <c r="L229" s="15">
        <f t="shared" si="14"/>
        <v>0</v>
      </c>
      <c r="M229" s="15">
        <v>26303</v>
      </c>
      <c r="N229" s="15">
        <f t="shared" si="15"/>
        <v>289333000</v>
      </c>
      <c r="O229" s="15" t="str">
        <f>IF(AND(A229='BANG KE NL'!$M$11,TH!C229="NL",LEFT(D229,1)="N"),"x","")</f>
        <v/>
      </c>
    </row>
    <row r="230" spans="1:15" hidden="1">
      <c r="A230" s="24">
        <f t="shared" si="16"/>
        <v>6</v>
      </c>
      <c r="B230" s="176" t="str">
        <f>IF(AND(MONTH(E230)='IN-NX'!$J$5,'IN-NX'!$D$7=(D230&amp;"/"&amp;C230)),"x","")</f>
        <v/>
      </c>
      <c r="C230" s="173" t="s">
        <v>226</v>
      </c>
      <c r="D230" s="173" t="s">
        <v>268</v>
      </c>
      <c r="E230" s="70">
        <v>42169</v>
      </c>
      <c r="F230" s="62" t="s">
        <v>55</v>
      </c>
      <c r="G230" s="19" t="s">
        <v>229</v>
      </c>
      <c r="H230" s="200" t="s">
        <v>97</v>
      </c>
      <c r="I230" s="57" t="s">
        <v>231</v>
      </c>
      <c r="J230" s="15">
        <v>11000</v>
      </c>
      <c r="K230" s="15"/>
      <c r="L230" s="15">
        <f t="shared" si="14"/>
        <v>0</v>
      </c>
      <c r="M230" s="15">
        <v>26559</v>
      </c>
      <c r="N230" s="15">
        <f t="shared" si="15"/>
        <v>292149000</v>
      </c>
      <c r="O230" s="15" t="str">
        <f>IF(AND(A230='BANG KE NL'!$M$11,TH!C230="NL",LEFT(D230,1)="N"),"x","")</f>
        <v/>
      </c>
    </row>
    <row r="231" spans="1:15" hidden="1">
      <c r="A231" s="24">
        <f t="shared" si="16"/>
        <v>6</v>
      </c>
      <c r="B231" s="176" t="str">
        <f>IF(AND(MONTH(E231)='IN-NX'!$J$5,'IN-NX'!$D$7=(D231&amp;"/"&amp;C231)),"x","")</f>
        <v/>
      </c>
      <c r="C231" s="173" t="s">
        <v>226</v>
      </c>
      <c r="D231" s="173" t="s">
        <v>269</v>
      </c>
      <c r="E231" s="70">
        <v>42170</v>
      </c>
      <c r="F231" s="62" t="s">
        <v>387</v>
      </c>
      <c r="G231" s="19" t="s">
        <v>229</v>
      </c>
      <c r="H231" s="200" t="s">
        <v>97</v>
      </c>
      <c r="I231" s="57" t="s">
        <v>231</v>
      </c>
      <c r="J231" s="15">
        <v>24500</v>
      </c>
      <c r="K231" s="15"/>
      <c r="L231" s="15">
        <f t="shared" si="14"/>
        <v>0</v>
      </c>
      <c r="M231" s="15">
        <v>14400</v>
      </c>
      <c r="N231" s="15">
        <f t="shared" si="15"/>
        <v>352800000</v>
      </c>
      <c r="O231" s="15" t="str">
        <f>IF(AND(A231='BANG KE NL'!$M$11,TH!C231="NL",LEFT(D231,1)="N"),"x","")</f>
        <v/>
      </c>
    </row>
    <row r="232" spans="1:15" hidden="1">
      <c r="A232" s="24">
        <f t="shared" si="16"/>
        <v>6</v>
      </c>
      <c r="B232" s="176" t="str">
        <f>IF(AND(MONTH(E232)='IN-NX'!$J$5,'IN-NX'!$D$7=(D232&amp;"/"&amp;C232)),"x","")</f>
        <v/>
      </c>
      <c r="C232" s="173" t="s">
        <v>226</v>
      </c>
      <c r="D232" s="173" t="s">
        <v>270</v>
      </c>
      <c r="E232" s="70">
        <v>42171</v>
      </c>
      <c r="F232" s="62" t="s">
        <v>55</v>
      </c>
      <c r="G232" s="19" t="s">
        <v>229</v>
      </c>
      <c r="H232" s="200" t="s">
        <v>97</v>
      </c>
      <c r="I232" s="57" t="s">
        <v>231</v>
      </c>
      <c r="J232" s="15">
        <v>11000</v>
      </c>
      <c r="K232" s="15"/>
      <c r="L232" s="15">
        <f t="shared" si="14"/>
        <v>0</v>
      </c>
      <c r="M232" s="15">
        <v>26634</v>
      </c>
      <c r="N232" s="15">
        <f t="shared" si="15"/>
        <v>292974000</v>
      </c>
      <c r="O232" s="15" t="str">
        <f>IF(AND(A232='BANG KE NL'!$M$11,TH!C232="NL",LEFT(D232,1)="N"),"x","")</f>
        <v/>
      </c>
    </row>
    <row r="233" spans="1:15" hidden="1">
      <c r="A233" s="24">
        <f t="shared" si="16"/>
        <v>6</v>
      </c>
      <c r="B233" s="176" t="str">
        <f>IF(AND(MONTH(E233)='IN-NX'!$J$5,'IN-NX'!$D$7=(D233&amp;"/"&amp;C233)),"x","")</f>
        <v/>
      </c>
      <c r="C233" s="173" t="s">
        <v>226</v>
      </c>
      <c r="D233" s="173" t="s">
        <v>271</v>
      </c>
      <c r="E233" s="70">
        <v>42176</v>
      </c>
      <c r="F233" s="62" t="s">
        <v>68</v>
      </c>
      <c r="G233" s="19" t="s">
        <v>229</v>
      </c>
      <c r="H233" s="200" t="s">
        <v>97</v>
      </c>
      <c r="I233" s="57" t="s">
        <v>231</v>
      </c>
      <c r="J233" s="15">
        <v>17500</v>
      </c>
      <c r="K233" s="15"/>
      <c r="L233" s="15">
        <f t="shared" si="14"/>
        <v>0</v>
      </c>
      <c r="M233" s="15">
        <v>22570</v>
      </c>
      <c r="N233" s="15">
        <f t="shared" si="15"/>
        <v>394975000</v>
      </c>
      <c r="O233" s="15" t="str">
        <f>IF(AND(A233='BANG KE NL'!$M$11,TH!C233="NL",LEFT(D233,1)="N"),"x","")</f>
        <v/>
      </c>
    </row>
    <row r="234" spans="1:15" hidden="1">
      <c r="A234" s="24">
        <f t="shared" si="16"/>
        <v>6</v>
      </c>
      <c r="B234" s="176" t="str">
        <f>IF(AND(MONTH(E234)='IN-NX'!$J$5,'IN-NX'!$D$7=(D234&amp;"/"&amp;C234)),"x","")</f>
        <v/>
      </c>
      <c r="C234" s="173" t="s">
        <v>226</v>
      </c>
      <c r="D234" s="173" t="s">
        <v>272</v>
      </c>
      <c r="E234" s="70">
        <v>42180</v>
      </c>
      <c r="F234" s="62" t="s">
        <v>68</v>
      </c>
      <c r="G234" s="19" t="s">
        <v>229</v>
      </c>
      <c r="H234" s="200" t="s">
        <v>97</v>
      </c>
      <c r="I234" s="57" t="s">
        <v>231</v>
      </c>
      <c r="J234" s="15">
        <v>17500</v>
      </c>
      <c r="K234" s="15"/>
      <c r="L234" s="15">
        <f t="shared" si="14"/>
        <v>0</v>
      </c>
      <c r="M234" s="15">
        <v>11180</v>
      </c>
      <c r="N234" s="15">
        <f t="shared" si="15"/>
        <v>195650000</v>
      </c>
      <c r="O234" s="15" t="str">
        <f>IF(AND(A234='BANG KE NL'!$M$11,TH!C234="NL",LEFT(D234,1)="N"),"x","")</f>
        <v/>
      </c>
    </row>
    <row r="235" spans="1:15" hidden="1">
      <c r="A235" s="24">
        <f t="shared" si="16"/>
        <v>7</v>
      </c>
      <c r="B235" s="176" t="str">
        <f>IF(AND(MONTH(E235)='IN-NX'!$J$5,'IN-NX'!$D$7=(D235&amp;"/"&amp;C235)),"x","")</f>
        <v/>
      </c>
      <c r="C235" s="173" t="s">
        <v>226</v>
      </c>
      <c r="D235" s="173" t="s">
        <v>218</v>
      </c>
      <c r="E235" s="70">
        <v>42190</v>
      </c>
      <c r="F235" s="62" t="s">
        <v>55</v>
      </c>
      <c r="G235" s="19" t="s">
        <v>204</v>
      </c>
      <c r="H235" s="200" t="s">
        <v>231</v>
      </c>
      <c r="I235" s="57" t="s">
        <v>124</v>
      </c>
      <c r="J235" s="15">
        <v>10500</v>
      </c>
      <c r="K235" s="15">
        <v>5980</v>
      </c>
      <c r="L235" s="15">
        <f t="shared" ref="L235:L243" si="17">ROUND(J235*K235,0)</f>
        <v>62790000</v>
      </c>
      <c r="M235" s="15"/>
      <c r="N235" s="15">
        <f t="shared" ref="N235:N243" si="18">ROUND(J235*M235,0)</f>
        <v>0</v>
      </c>
      <c r="O235" s="15" t="str">
        <f>IF(AND(A235='BANG KE NL'!$M$11,TH!C235="NL",LEFT(D235,1)="N"),"x","")</f>
        <v/>
      </c>
    </row>
    <row r="236" spans="1:15" hidden="1">
      <c r="A236" s="24">
        <f t="shared" si="16"/>
        <v>7</v>
      </c>
      <c r="B236" s="176" t="str">
        <f>IF(AND(MONTH(E236)='IN-NX'!$J$5,'IN-NX'!$D$7=(D236&amp;"/"&amp;C236)),"x","")</f>
        <v/>
      </c>
      <c r="C236" s="173" t="s">
        <v>226</v>
      </c>
      <c r="D236" s="173" t="s">
        <v>219</v>
      </c>
      <c r="E236" s="70">
        <v>42190</v>
      </c>
      <c r="F236" s="62" t="s">
        <v>55</v>
      </c>
      <c r="G236" s="19" t="s">
        <v>205</v>
      </c>
      <c r="H236" s="200" t="s">
        <v>231</v>
      </c>
      <c r="I236" s="57" t="s">
        <v>124</v>
      </c>
      <c r="J236" s="15">
        <v>10500</v>
      </c>
      <c r="K236" s="15">
        <v>6147</v>
      </c>
      <c r="L236" s="15">
        <f t="shared" si="17"/>
        <v>64543500</v>
      </c>
      <c r="M236" s="15"/>
      <c r="N236" s="15">
        <f t="shared" si="18"/>
        <v>0</v>
      </c>
      <c r="O236" s="15" t="str">
        <f>IF(AND(A236='BANG KE NL'!$M$11,TH!C236="NL",LEFT(D236,1)="N"),"x","")</f>
        <v/>
      </c>
    </row>
    <row r="237" spans="1:15" hidden="1">
      <c r="A237" s="24">
        <f t="shared" si="16"/>
        <v>7</v>
      </c>
      <c r="B237" s="176" t="str">
        <f>IF(AND(MONTH(E237)='IN-NX'!$J$5,'IN-NX'!$D$7=(D237&amp;"/"&amp;C237)),"x","")</f>
        <v/>
      </c>
      <c r="C237" s="173" t="s">
        <v>226</v>
      </c>
      <c r="D237" s="173" t="s">
        <v>232</v>
      </c>
      <c r="E237" s="70">
        <v>42190</v>
      </c>
      <c r="F237" s="62" t="s">
        <v>55</v>
      </c>
      <c r="G237" s="19" t="s">
        <v>206</v>
      </c>
      <c r="H237" s="200" t="s">
        <v>231</v>
      </c>
      <c r="I237" s="57" t="s">
        <v>124</v>
      </c>
      <c r="J237" s="15">
        <v>10500</v>
      </c>
      <c r="K237" s="15">
        <v>6530</v>
      </c>
      <c r="L237" s="15">
        <f t="shared" si="17"/>
        <v>68565000</v>
      </c>
      <c r="M237" s="15"/>
      <c r="N237" s="15">
        <f t="shared" si="18"/>
        <v>0</v>
      </c>
      <c r="O237" s="15" t="str">
        <f>IF(AND(A237='BANG KE NL'!$M$11,TH!C237="NL",LEFT(D237,1)="N"),"x","")</f>
        <v/>
      </c>
    </row>
    <row r="238" spans="1:15" hidden="1">
      <c r="A238" s="24">
        <f t="shared" si="16"/>
        <v>7</v>
      </c>
      <c r="B238" s="176" t="str">
        <f>IF(AND(MONTH(E238)='IN-NX'!$J$5,'IN-NX'!$D$7=(D238&amp;"/"&amp;C238)),"x","")</f>
        <v/>
      </c>
      <c r="C238" s="173" t="s">
        <v>226</v>
      </c>
      <c r="D238" s="173" t="s">
        <v>234</v>
      </c>
      <c r="E238" s="70">
        <v>42197</v>
      </c>
      <c r="F238" s="62" t="s">
        <v>55</v>
      </c>
      <c r="G238" s="19" t="s">
        <v>208</v>
      </c>
      <c r="H238" s="200" t="s">
        <v>231</v>
      </c>
      <c r="I238" s="57" t="s">
        <v>124</v>
      </c>
      <c r="J238" s="15">
        <v>10500</v>
      </c>
      <c r="K238" s="15">
        <v>5931</v>
      </c>
      <c r="L238" s="15">
        <f t="shared" si="17"/>
        <v>62275500</v>
      </c>
      <c r="M238" s="15"/>
      <c r="N238" s="15">
        <f t="shared" si="18"/>
        <v>0</v>
      </c>
      <c r="O238" s="15" t="str">
        <f>IF(AND(A238='BANG KE NL'!$M$11,TH!C238="NL",LEFT(D238,1)="N"),"x","")</f>
        <v/>
      </c>
    </row>
    <row r="239" spans="1:15" hidden="1">
      <c r="A239" s="24">
        <f t="shared" si="16"/>
        <v>7</v>
      </c>
      <c r="B239" s="176" t="str">
        <f>IF(AND(MONTH(E239)='IN-NX'!$J$5,'IN-NX'!$D$7=(D239&amp;"/"&amp;C239)),"x","")</f>
        <v/>
      </c>
      <c r="C239" s="173" t="s">
        <v>226</v>
      </c>
      <c r="D239" s="173" t="s">
        <v>242</v>
      </c>
      <c r="E239" s="70">
        <v>42197</v>
      </c>
      <c r="F239" s="62" t="s">
        <v>55</v>
      </c>
      <c r="G239" s="19" t="s">
        <v>207</v>
      </c>
      <c r="H239" s="200" t="s">
        <v>231</v>
      </c>
      <c r="I239" s="57" t="s">
        <v>124</v>
      </c>
      <c r="J239" s="15">
        <v>10500</v>
      </c>
      <c r="K239" s="15">
        <v>5860</v>
      </c>
      <c r="L239" s="15">
        <f t="shared" si="17"/>
        <v>61530000</v>
      </c>
      <c r="M239" s="15"/>
      <c r="N239" s="15">
        <f t="shared" si="18"/>
        <v>0</v>
      </c>
      <c r="O239" s="15" t="str">
        <f>IF(AND(A239='BANG KE NL'!$M$11,TH!C239="NL",LEFT(D239,1)="N"),"x","")</f>
        <v/>
      </c>
    </row>
    <row r="240" spans="1:15" hidden="1">
      <c r="A240" s="24">
        <f t="shared" si="16"/>
        <v>7</v>
      </c>
      <c r="B240" s="176" t="str">
        <f>IF(AND(MONTH(E240)='IN-NX'!$J$5,'IN-NX'!$D$7=(D240&amp;"/"&amp;C240)),"x","")</f>
        <v/>
      </c>
      <c r="C240" s="173" t="s">
        <v>226</v>
      </c>
      <c r="D240" s="173" t="s">
        <v>243</v>
      </c>
      <c r="E240" s="70">
        <v>42197</v>
      </c>
      <c r="F240" s="62" t="s">
        <v>55</v>
      </c>
      <c r="G240" s="19" t="s">
        <v>202</v>
      </c>
      <c r="H240" s="200" t="s">
        <v>231</v>
      </c>
      <c r="I240" s="57" t="s">
        <v>124</v>
      </c>
      <c r="J240" s="15">
        <v>10500</v>
      </c>
      <c r="K240" s="15">
        <v>5793</v>
      </c>
      <c r="L240" s="15">
        <f t="shared" si="17"/>
        <v>60826500</v>
      </c>
      <c r="M240" s="15"/>
      <c r="N240" s="15">
        <f t="shared" si="18"/>
        <v>0</v>
      </c>
      <c r="O240" s="15" t="str">
        <f>IF(AND(A240='BANG KE NL'!$M$11,TH!C240="NL",LEFT(D240,1)="N"),"x","")</f>
        <v/>
      </c>
    </row>
    <row r="241" spans="1:15" hidden="1">
      <c r="A241" s="24">
        <f t="shared" si="16"/>
        <v>7</v>
      </c>
      <c r="B241" s="176" t="str">
        <f>IF(AND(MONTH(E241)='IN-NX'!$J$5,'IN-NX'!$D$7=(D241&amp;"/"&amp;C241)),"x","")</f>
        <v/>
      </c>
      <c r="C241" s="173" t="s">
        <v>226</v>
      </c>
      <c r="D241" s="173" t="s">
        <v>244</v>
      </c>
      <c r="E241" s="70">
        <v>42200</v>
      </c>
      <c r="F241" s="62" t="s">
        <v>55</v>
      </c>
      <c r="G241" s="19" t="s">
        <v>210</v>
      </c>
      <c r="H241" s="200" t="s">
        <v>231</v>
      </c>
      <c r="I241" s="57" t="s">
        <v>124</v>
      </c>
      <c r="J241" s="15">
        <v>10500</v>
      </c>
      <c r="K241" s="15">
        <v>6170</v>
      </c>
      <c r="L241" s="15">
        <f t="shared" si="17"/>
        <v>64785000</v>
      </c>
      <c r="M241" s="15"/>
      <c r="N241" s="15">
        <f t="shared" si="18"/>
        <v>0</v>
      </c>
      <c r="O241" s="15" t="str">
        <f>IF(AND(A241='BANG KE NL'!$M$11,TH!C241="NL",LEFT(D241,1)="N"),"x","")</f>
        <v/>
      </c>
    </row>
    <row r="242" spans="1:15" hidden="1">
      <c r="A242" s="24">
        <f t="shared" si="16"/>
        <v>7</v>
      </c>
      <c r="B242" s="176" t="str">
        <f>IF(AND(MONTH(E242)='IN-NX'!$J$5,'IN-NX'!$D$7=(D242&amp;"/"&amp;C242)),"x","")</f>
        <v/>
      </c>
      <c r="C242" s="173" t="s">
        <v>226</v>
      </c>
      <c r="D242" s="173" t="s">
        <v>245</v>
      </c>
      <c r="E242" s="70">
        <v>42200</v>
      </c>
      <c r="F242" s="62" t="s">
        <v>55</v>
      </c>
      <c r="G242" s="19" t="s">
        <v>205</v>
      </c>
      <c r="H242" s="200" t="s">
        <v>231</v>
      </c>
      <c r="I242" s="57" t="s">
        <v>124</v>
      </c>
      <c r="J242" s="15">
        <v>10500</v>
      </c>
      <c r="K242" s="15">
        <v>5880</v>
      </c>
      <c r="L242" s="15">
        <f t="shared" si="17"/>
        <v>61740000</v>
      </c>
      <c r="M242" s="15"/>
      <c r="N242" s="15">
        <f t="shared" si="18"/>
        <v>0</v>
      </c>
      <c r="O242" s="15" t="str">
        <f>IF(AND(A242='BANG KE NL'!$M$11,TH!C242="NL",LEFT(D242,1)="N"),"x","")</f>
        <v/>
      </c>
    </row>
    <row r="243" spans="1:15" hidden="1">
      <c r="A243" s="24">
        <f t="shared" si="16"/>
        <v>7</v>
      </c>
      <c r="B243" s="176" t="str">
        <f>IF(AND(MONTH(E243)='IN-NX'!$J$5,'IN-NX'!$D$7=(D243&amp;"/"&amp;C243)),"x","")</f>
        <v/>
      </c>
      <c r="C243" s="173" t="s">
        <v>226</v>
      </c>
      <c r="D243" s="173" t="s">
        <v>246</v>
      </c>
      <c r="E243" s="70">
        <v>42200</v>
      </c>
      <c r="F243" s="62" t="s">
        <v>55</v>
      </c>
      <c r="G243" s="19" t="s">
        <v>206</v>
      </c>
      <c r="H243" s="200" t="s">
        <v>231</v>
      </c>
      <c r="I243" s="57" t="s">
        <v>124</v>
      </c>
      <c r="J243" s="15">
        <v>10500</v>
      </c>
      <c r="K243" s="15">
        <v>6709</v>
      </c>
      <c r="L243" s="15">
        <f t="shared" si="17"/>
        <v>70444500</v>
      </c>
      <c r="M243" s="15"/>
      <c r="N243" s="15">
        <f t="shared" si="18"/>
        <v>0</v>
      </c>
      <c r="O243" s="15" t="str">
        <f>IF(AND(A243='BANG KE NL'!$M$11,TH!C243="NL",LEFT(D243,1)="N"),"x","")</f>
        <v/>
      </c>
    </row>
    <row r="244" spans="1:15" hidden="1">
      <c r="A244" s="24">
        <f t="shared" si="16"/>
        <v>7</v>
      </c>
      <c r="B244" s="176" t="str">
        <f>IF(AND(MONTH(E244)='IN-NX'!$J$5,'IN-NX'!$D$7=(D244&amp;"/"&amp;C244)),"x","")</f>
        <v/>
      </c>
      <c r="C244" s="173" t="s">
        <v>226</v>
      </c>
      <c r="D244" s="173" t="s">
        <v>221</v>
      </c>
      <c r="E244" s="70">
        <v>42190</v>
      </c>
      <c r="F244" s="62" t="s">
        <v>55</v>
      </c>
      <c r="G244" s="19" t="s">
        <v>229</v>
      </c>
      <c r="H244" s="200" t="s">
        <v>97</v>
      </c>
      <c r="I244" s="200" t="s">
        <v>231</v>
      </c>
      <c r="J244" s="15">
        <v>10500</v>
      </c>
      <c r="K244" s="15"/>
      <c r="L244" s="15">
        <f t="shared" ref="L244:L269" si="19">ROUND(J244*K244,0)</f>
        <v>0</v>
      </c>
      <c r="M244" s="15">
        <v>18657</v>
      </c>
      <c r="N244" s="15">
        <f t="shared" ref="N244:N269" si="20">ROUND(J244*M244,0)</f>
        <v>195898500</v>
      </c>
      <c r="O244" s="15" t="str">
        <f>IF(AND(A244='BANG KE NL'!$M$11,TH!C244="NL",LEFT(D244,1)="N"),"x","")</f>
        <v/>
      </c>
    </row>
    <row r="245" spans="1:15" hidden="1">
      <c r="A245" s="24">
        <f t="shared" si="16"/>
        <v>7</v>
      </c>
      <c r="B245" s="176" t="str">
        <f>IF(AND(MONTH(E245)='IN-NX'!$J$5,'IN-NX'!$D$7=(D245&amp;"/"&amp;C245)),"x","")</f>
        <v/>
      </c>
      <c r="C245" s="173" t="s">
        <v>226</v>
      </c>
      <c r="D245" s="173" t="s">
        <v>230</v>
      </c>
      <c r="E245" s="70">
        <v>42197</v>
      </c>
      <c r="F245" s="62" t="s">
        <v>55</v>
      </c>
      <c r="G245" s="19" t="s">
        <v>229</v>
      </c>
      <c r="H245" s="200" t="s">
        <v>97</v>
      </c>
      <c r="I245" s="200" t="s">
        <v>231</v>
      </c>
      <c r="J245" s="15">
        <v>10500</v>
      </c>
      <c r="K245" s="15"/>
      <c r="L245" s="15">
        <f t="shared" si="19"/>
        <v>0</v>
      </c>
      <c r="M245" s="15">
        <v>17584</v>
      </c>
      <c r="N245" s="15">
        <f t="shared" si="20"/>
        <v>184632000</v>
      </c>
      <c r="O245" s="15" t="str">
        <f>IF(AND(A245='BANG KE NL'!$M$11,TH!C245="NL",LEFT(D245,1)="N"),"x","")</f>
        <v/>
      </c>
    </row>
    <row r="246" spans="1:15" hidden="1">
      <c r="A246" s="24">
        <f t="shared" si="16"/>
        <v>7</v>
      </c>
      <c r="B246" s="176" t="str">
        <f>IF(AND(MONTH(E246)='IN-NX'!$J$5,'IN-NX'!$D$7=(D246&amp;"/"&amp;C246)),"x","")</f>
        <v/>
      </c>
      <c r="C246" s="173" t="s">
        <v>226</v>
      </c>
      <c r="D246" s="173" t="s">
        <v>268</v>
      </c>
      <c r="E246" s="70">
        <v>42200</v>
      </c>
      <c r="F246" s="62" t="s">
        <v>55</v>
      </c>
      <c r="G246" s="19" t="s">
        <v>229</v>
      </c>
      <c r="H246" s="200" t="s">
        <v>97</v>
      </c>
      <c r="I246" s="200" t="s">
        <v>231</v>
      </c>
      <c r="J246" s="15">
        <v>10500</v>
      </c>
      <c r="K246" s="15"/>
      <c r="L246" s="15">
        <f t="shared" si="19"/>
        <v>0</v>
      </c>
      <c r="M246" s="15">
        <v>18759</v>
      </c>
      <c r="N246" s="15">
        <f t="shared" si="20"/>
        <v>196969500</v>
      </c>
      <c r="O246" s="15" t="str">
        <f>IF(AND(A246='BANG KE NL'!$M$11,TH!C246="NL",LEFT(D246,1)="N"),"x","")</f>
        <v/>
      </c>
    </row>
    <row r="247" spans="1:15" hidden="1">
      <c r="A247" s="24">
        <f t="shared" si="16"/>
        <v>7</v>
      </c>
      <c r="B247" s="176" t="str">
        <f>IF(AND(MONTH(E247)='IN-NX'!$J$5,'IN-NX'!$D$7=(D247&amp;"/"&amp;C247)),"x","")</f>
        <v/>
      </c>
      <c r="C247" s="173" t="s">
        <v>226</v>
      </c>
      <c r="D247" s="173" t="s">
        <v>214</v>
      </c>
      <c r="E247" s="70">
        <v>42186</v>
      </c>
      <c r="F247" s="62" t="s">
        <v>55</v>
      </c>
      <c r="G247" s="19" t="s">
        <v>204</v>
      </c>
      <c r="H247" s="200" t="s">
        <v>231</v>
      </c>
      <c r="I247" s="57" t="s">
        <v>124</v>
      </c>
      <c r="J247" s="15">
        <v>14500</v>
      </c>
      <c r="K247" s="15">
        <v>6048</v>
      </c>
      <c r="L247" s="15">
        <f t="shared" si="19"/>
        <v>87696000</v>
      </c>
      <c r="M247" s="15"/>
      <c r="N247" s="15">
        <f t="shared" si="20"/>
        <v>0</v>
      </c>
      <c r="O247" s="15" t="str">
        <f>IF(AND(A247='BANG KE NL'!$M$11,TH!C247="NL",LEFT(D247,1)="N"),"x","")</f>
        <v/>
      </c>
    </row>
    <row r="248" spans="1:15" hidden="1">
      <c r="A248" s="24">
        <f t="shared" si="16"/>
        <v>7</v>
      </c>
      <c r="B248" s="176" t="str">
        <f>IF(AND(MONTH(E248)='IN-NX'!$J$5,'IN-NX'!$D$7=(D248&amp;"/"&amp;C248)),"x","")</f>
        <v/>
      </c>
      <c r="C248" s="173" t="s">
        <v>226</v>
      </c>
      <c r="D248" s="173" t="s">
        <v>215</v>
      </c>
      <c r="E248" s="70">
        <v>42186</v>
      </c>
      <c r="F248" s="62" t="s">
        <v>55</v>
      </c>
      <c r="G248" s="19" t="s">
        <v>205</v>
      </c>
      <c r="H248" s="200" t="s">
        <v>231</v>
      </c>
      <c r="I248" s="57" t="s">
        <v>124</v>
      </c>
      <c r="J248" s="15">
        <v>14500</v>
      </c>
      <c r="K248" s="15">
        <v>6450</v>
      </c>
      <c r="L248" s="15">
        <f t="shared" si="19"/>
        <v>93525000</v>
      </c>
      <c r="M248" s="15"/>
      <c r="N248" s="15">
        <f t="shared" si="20"/>
        <v>0</v>
      </c>
      <c r="O248" s="15" t="str">
        <f>IF(AND(A248='BANG KE NL'!$M$11,TH!C248="NL",LEFT(D248,1)="N"),"x","")</f>
        <v/>
      </c>
    </row>
    <row r="249" spans="1:15" hidden="1">
      <c r="A249" s="24">
        <f t="shared" si="16"/>
        <v>7</v>
      </c>
      <c r="B249" s="176" t="str">
        <f>IF(AND(MONTH(E249)='IN-NX'!$J$5,'IN-NX'!$D$7=(D249&amp;"/"&amp;C249)),"x","")</f>
        <v/>
      </c>
      <c r="C249" s="173" t="s">
        <v>226</v>
      </c>
      <c r="D249" s="173" t="s">
        <v>216</v>
      </c>
      <c r="E249" s="70">
        <v>42186</v>
      </c>
      <c r="F249" s="62" t="s">
        <v>55</v>
      </c>
      <c r="G249" s="19" t="s">
        <v>206</v>
      </c>
      <c r="H249" s="200" t="s">
        <v>231</v>
      </c>
      <c r="I249" s="57" t="s">
        <v>124</v>
      </c>
      <c r="J249" s="15">
        <v>14500</v>
      </c>
      <c r="K249" s="15">
        <v>6670</v>
      </c>
      <c r="L249" s="15">
        <f t="shared" si="19"/>
        <v>96715000</v>
      </c>
      <c r="M249" s="15"/>
      <c r="N249" s="15">
        <f t="shared" si="20"/>
        <v>0</v>
      </c>
      <c r="O249" s="15" t="str">
        <f>IF(AND(A249='BANG KE NL'!$M$11,TH!C249="NL",LEFT(D249,1)="N"),"x","")</f>
        <v/>
      </c>
    </row>
    <row r="250" spans="1:15" hidden="1">
      <c r="A250" s="24">
        <f t="shared" si="16"/>
        <v>7</v>
      </c>
      <c r="B250" s="176" t="str">
        <f>IF(AND(MONTH(E250)='IN-NX'!$J$5,'IN-NX'!$D$7=(D250&amp;"/"&amp;C250)),"x","")</f>
        <v/>
      </c>
      <c r="C250" s="173" t="s">
        <v>226</v>
      </c>
      <c r="D250" s="173" t="s">
        <v>217</v>
      </c>
      <c r="E250" s="70">
        <v>42186</v>
      </c>
      <c r="F250" s="62" t="s">
        <v>55</v>
      </c>
      <c r="G250" s="19" t="s">
        <v>208</v>
      </c>
      <c r="H250" s="200" t="s">
        <v>231</v>
      </c>
      <c r="I250" s="57" t="s">
        <v>124</v>
      </c>
      <c r="J250" s="15">
        <v>14500</v>
      </c>
      <c r="K250" s="15">
        <v>6012</v>
      </c>
      <c r="L250" s="15">
        <f t="shared" si="19"/>
        <v>87174000</v>
      </c>
      <c r="M250" s="15"/>
      <c r="N250" s="15">
        <f t="shared" si="20"/>
        <v>0</v>
      </c>
      <c r="O250" s="15" t="str">
        <f>IF(AND(A250='BANG KE NL'!$M$11,TH!C250="NL",LEFT(D250,1)="N"),"x","")</f>
        <v/>
      </c>
    </row>
    <row r="251" spans="1:15" hidden="1">
      <c r="A251" s="24">
        <f t="shared" si="16"/>
        <v>7</v>
      </c>
      <c r="B251" s="176" t="str">
        <f>IF(AND(MONTH(E251)='IN-NX'!$J$5,'IN-NX'!$D$7=(D251&amp;"/"&amp;C251)),"x","")</f>
        <v/>
      </c>
      <c r="C251" s="173" t="s">
        <v>226</v>
      </c>
      <c r="D251" s="173" t="s">
        <v>238</v>
      </c>
      <c r="E251" s="70">
        <v>42195</v>
      </c>
      <c r="F251" s="62" t="s">
        <v>55</v>
      </c>
      <c r="G251" s="19" t="s">
        <v>207</v>
      </c>
      <c r="H251" s="200" t="s">
        <v>231</v>
      </c>
      <c r="I251" s="57" t="s">
        <v>124</v>
      </c>
      <c r="J251" s="15">
        <v>14500</v>
      </c>
      <c r="K251" s="15">
        <v>5930</v>
      </c>
      <c r="L251" s="15">
        <f t="shared" si="19"/>
        <v>85985000</v>
      </c>
      <c r="M251" s="15"/>
      <c r="N251" s="15">
        <f t="shared" si="20"/>
        <v>0</v>
      </c>
      <c r="O251" s="15" t="str">
        <f>IF(AND(A251='BANG KE NL'!$M$11,TH!C251="NL",LEFT(D251,1)="N"),"x","")</f>
        <v/>
      </c>
    </row>
    <row r="252" spans="1:15" hidden="1">
      <c r="A252" s="24">
        <f t="shared" si="16"/>
        <v>7</v>
      </c>
      <c r="B252" s="176" t="str">
        <f>IF(AND(MONTH(E252)='IN-NX'!$J$5,'IN-NX'!$D$7=(D252&amp;"/"&amp;C252)),"x","")</f>
        <v/>
      </c>
      <c r="C252" s="173" t="s">
        <v>226</v>
      </c>
      <c r="D252" s="173" t="s">
        <v>239</v>
      </c>
      <c r="E252" s="70">
        <v>42195</v>
      </c>
      <c r="F252" s="62" t="s">
        <v>55</v>
      </c>
      <c r="G252" s="19" t="s">
        <v>202</v>
      </c>
      <c r="H252" s="200" t="s">
        <v>231</v>
      </c>
      <c r="I252" s="57" t="s">
        <v>124</v>
      </c>
      <c r="J252" s="15">
        <v>14500</v>
      </c>
      <c r="K252" s="15">
        <v>6730</v>
      </c>
      <c r="L252" s="15">
        <f t="shared" si="19"/>
        <v>97585000</v>
      </c>
      <c r="M252" s="15"/>
      <c r="N252" s="15">
        <f t="shared" si="20"/>
        <v>0</v>
      </c>
      <c r="O252" s="15" t="str">
        <f>IF(AND(A252='BANG KE NL'!$M$11,TH!C252="NL",LEFT(D252,1)="N"),"x","")</f>
        <v/>
      </c>
    </row>
    <row r="253" spans="1:15" hidden="1">
      <c r="A253" s="24">
        <f t="shared" si="16"/>
        <v>7</v>
      </c>
      <c r="B253" s="176" t="str">
        <f>IF(AND(MONTH(E253)='IN-NX'!$J$5,'IN-NX'!$D$7=(D253&amp;"/"&amp;C253)),"x","")</f>
        <v/>
      </c>
      <c r="C253" s="173" t="s">
        <v>226</v>
      </c>
      <c r="D253" s="173" t="s">
        <v>240</v>
      </c>
      <c r="E253" s="70">
        <v>42195</v>
      </c>
      <c r="F253" s="62" t="s">
        <v>55</v>
      </c>
      <c r="G253" s="19" t="s">
        <v>210</v>
      </c>
      <c r="H253" s="200" t="s">
        <v>231</v>
      </c>
      <c r="I253" s="57" t="s">
        <v>124</v>
      </c>
      <c r="J253" s="15">
        <v>14500</v>
      </c>
      <c r="K253" s="15">
        <v>5720</v>
      </c>
      <c r="L253" s="15">
        <f t="shared" si="19"/>
        <v>82940000</v>
      </c>
      <c r="M253" s="15"/>
      <c r="N253" s="15">
        <f t="shared" si="20"/>
        <v>0</v>
      </c>
      <c r="O253" s="15" t="str">
        <f>IF(AND(A253='BANG KE NL'!$M$11,TH!C253="NL",LEFT(D253,1)="N"),"x","")</f>
        <v/>
      </c>
    </row>
    <row r="254" spans="1:15" hidden="1">
      <c r="A254" s="24">
        <f t="shared" si="16"/>
        <v>7</v>
      </c>
      <c r="B254" s="176" t="str">
        <f>IF(AND(MONTH(E254)='IN-NX'!$J$5,'IN-NX'!$D$7=(D254&amp;"/"&amp;C254)),"x","")</f>
        <v/>
      </c>
      <c r="C254" s="173" t="s">
        <v>226</v>
      </c>
      <c r="D254" s="173" t="s">
        <v>241</v>
      </c>
      <c r="E254" s="70">
        <v>42195</v>
      </c>
      <c r="F254" s="62" t="s">
        <v>55</v>
      </c>
      <c r="G254" s="19" t="s">
        <v>209</v>
      </c>
      <c r="H254" s="200" t="s">
        <v>231</v>
      </c>
      <c r="I254" s="57" t="s">
        <v>124</v>
      </c>
      <c r="J254" s="15">
        <v>14500</v>
      </c>
      <c r="K254" s="15">
        <v>5940</v>
      </c>
      <c r="L254" s="15">
        <f t="shared" si="19"/>
        <v>86130000</v>
      </c>
      <c r="M254" s="15"/>
      <c r="N254" s="15">
        <f t="shared" si="20"/>
        <v>0</v>
      </c>
      <c r="O254" s="15" t="str">
        <f>IF(AND(A254='BANG KE NL'!$M$11,TH!C254="NL",LEFT(D254,1)="N"),"x","")</f>
        <v/>
      </c>
    </row>
    <row r="255" spans="1:15" hidden="1">
      <c r="A255" s="24">
        <f t="shared" si="16"/>
        <v>7</v>
      </c>
      <c r="B255" s="176" t="str">
        <f>IF(AND(MONTH(E255)='IN-NX'!$J$5,'IN-NX'!$D$7=(D255&amp;"/"&amp;C255)),"x","")</f>
        <v/>
      </c>
      <c r="C255" s="173" t="s">
        <v>226</v>
      </c>
      <c r="D255" s="173" t="s">
        <v>220</v>
      </c>
      <c r="E255" s="70">
        <v>42186</v>
      </c>
      <c r="F255" s="62" t="s">
        <v>55</v>
      </c>
      <c r="G255" s="19" t="s">
        <v>229</v>
      </c>
      <c r="H255" s="200" t="s">
        <v>97</v>
      </c>
      <c r="I255" s="200" t="s">
        <v>231</v>
      </c>
      <c r="J255" s="15">
        <v>14500</v>
      </c>
      <c r="K255" s="15"/>
      <c r="L255" s="15">
        <f t="shared" si="19"/>
        <v>0</v>
      </c>
      <c r="M255" s="15">
        <v>25180</v>
      </c>
      <c r="N255" s="15">
        <f t="shared" si="20"/>
        <v>365110000</v>
      </c>
      <c r="O255" s="15" t="str">
        <f>IF(AND(A255='BANG KE NL'!$M$11,TH!C255="NL",LEFT(D255,1)="N"),"x","")</f>
        <v/>
      </c>
    </row>
    <row r="256" spans="1:15" hidden="1">
      <c r="A256" s="24">
        <f t="shared" si="16"/>
        <v>7</v>
      </c>
      <c r="B256" s="176" t="str">
        <f>IF(AND(MONTH(E256)='IN-NX'!$J$5,'IN-NX'!$D$7=(D256&amp;"/"&amp;C256)),"x","")</f>
        <v/>
      </c>
      <c r="C256" s="173" t="s">
        <v>226</v>
      </c>
      <c r="D256" s="173" t="s">
        <v>223</v>
      </c>
      <c r="E256" s="70">
        <v>42195</v>
      </c>
      <c r="F256" s="62" t="s">
        <v>55</v>
      </c>
      <c r="G256" s="19" t="s">
        <v>229</v>
      </c>
      <c r="H256" s="200" t="s">
        <v>97</v>
      </c>
      <c r="I256" s="200" t="s">
        <v>231</v>
      </c>
      <c r="J256" s="15">
        <v>14500</v>
      </c>
      <c r="K256" s="15"/>
      <c r="L256" s="15">
        <f t="shared" si="19"/>
        <v>0</v>
      </c>
      <c r="M256" s="15">
        <v>24320</v>
      </c>
      <c r="N256" s="15">
        <f t="shared" si="20"/>
        <v>352640000</v>
      </c>
      <c r="O256" s="15" t="str">
        <f>IF(AND(A256='BANG KE NL'!$M$11,TH!C256="NL",LEFT(D256,1)="N"),"x","")</f>
        <v/>
      </c>
    </row>
    <row r="257" spans="1:15" hidden="1">
      <c r="A257" s="24">
        <f t="shared" si="16"/>
        <v>7</v>
      </c>
      <c r="B257" s="176" t="str">
        <f>IF(AND(MONTH(E257)='IN-NX'!$J$5,'IN-NX'!$D$7=(D257&amp;"/"&amp;C257)),"x","")</f>
        <v/>
      </c>
      <c r="C257" s="173" t="s">
        <v>226</v>
      </c>
      <c r="D257" s="173" t="s">
        <v>235</v>
      </c>
      <c r="E257" s="70">
        <v>42192</v>
      </c>
      <c r="F257" s="62" t="s">
        <v>69</v>
      </c>
      <c r="G257" s="19" t="s">
        <v>172</v>
      </c>
      <c r="H257" s="200" t="s">
        <v>231</v>
      </c>
      <c r="I257" s="57" t="s">
        <v>124</v>
      </c>
      <c r="J257" s="15">
        <v>15000</v>
      </c>
      <c r="K257" s="15">
        <v>4980</v>
      </c>
      <c r="L257" s="15">
        <f t="shared" si="19"/>
        <v>74700000</v>
      </c>
      <c r="M257" s="15"/>
      <c r="N257" s="15">
        <f t="shared" si="20"/>
        <v>0</v>
      </c>
      <c r="O257" s="15" t="str">
        <f>IF(AND(A257='BANG KE NL'!$M$11,TH!C257="NL",LEFT(D257,1)="N"),"x","")</f>
        <v/>
      </c>
    </row>
    <row r="258" spans="1:15" hidden="1">
      <c r="A258" s="24">
        <f t="shared" si="16"/>
        <v>7</v>
      </c>
      <c r="B258" s="176" t="str">
        <f>IF(AND(MONTH(E258)='IN-NX'!$J$5,'IN-NX'!$D$7=(D258&amp;"/"&amp;C258)),"x","")</f>
        <v/>
      </c>
      <c r="C258" s="173" t="s">
        <v>226</v>
      </c>
      <c r="D258" s="173" t="s">
        <v>236</v>
      </c>
      <c r="E258" s="70">
        <v>42192</v>
      </c>
      <c r="F258" s="62" t="s">
        <v>69</v>
      </c>
      <c r="G258" s="19" t="s">
        <v>167</v>
      </c>
      <c r="H258" s="200" t="s">
        <v>231</v>
      </c>
      <c r="I258" s="57" t="s">
        <v>124</v>
      </c>
      <c r="J258" s="15">
        <v>15000</v>
      </c>
      <c r="K258" s="15">
        <v>5560</v>
      </c>
      <c r="L258" s="15">
        <f t="shared" si="19"/>
        <v>83400000</v>
      </c>
      <c r="M258" s="15"/>
      <c r="N258" s="15">
        <f t="shared" si="20"/>
        <v>0</v>
      </c>
      <c r="O258" s="15" t="str">
        <f>IF(AND(A258='BANG KE NL'!$M$11,TH!C258="NL",LEFT(D258,1)="N"),"x","")</f>
        <v/>
      </c>
    </row>
    <row r="259" spans="1:15" hidden="1">
      <c r="A259" s="24">
        <f t="shared" si="16"/>
        <v>7</v>
      </c>
      <c r="B259" s="176" t="str">
        <f>IF(AND(MONTH(E259)='IN-NX'!$J$5,'IN-NX'!$D$7=(D259&amp;"/"&amp;C259)),"x","")</f>
        <v/>
      </c>
      <c r="C259" s="173" t="s">
        <v>226</v>
      </c>
      <c r="D259" s="173" t="s">
        <v>237</v>
      </c>
      <c r="E259" s="70">
        <v>42192</v>
      </c>
      <c r="F259" s="62" t="s">
        <v>69</v>
      </c>
      <c r="G259" s="19" t="s">
        <v>173</v>
      </c>
      <c r="H259" s="200" t="s">
        <v>231</v>
      </c>
      <c r="I259" s="57" t="s">
        <v>124</v>
      </c>
      <c r="J259" s="15">
        <v>15000</v>
      </c>
      <c r="K259" s="15">
        <v>5460</v>
      </c>
      <c r="L259" s="15">
        <f t="shared" si="19"/>
        <v>81900000</v>
      </c>
      <c r="M259" s="15"/>
      <c r="N259" s="15">
        <f t="shared" si="20"/>
        <v>0</v>
      </c>
      <c r="O259" s="15" t="str">
        <f>IF(AND(A259='BANG KE NL'!$M$11,TH!C259="NL",LEFT(D259,1)="N"),"x","")</f>
        <v/>
      </c>
    </row>
    <row r="260" spans="1:15" hidden="1">
      <c r="A260" s="24">
        <f t="shared" si="16"/>
        <v>7</v>
      </c>
      <c r="B260" s="176" t="str">
        <f>IF(AND(MONTH(E260)='IN-NX'!$J$5,'IN-NX'!$D$7=(D260&amp;"/"&amp;C260)),"x","")</f>
        <v/>
      </c>
      <c r="C260" s="173" t="s">
        <v>226</v>
      </c>
      <c r="D260" s="173" t="s">
        <v>222</v>
      </c>
      <c r="E260" s="70">
        <v>42192</v>
      </c>
      <c r="F260" s="62" t="s">
        <v>69</v>
      </c>
      <c r="G260" s="19" t="s">
        <v>229</v>
      </c>
      <c r="H260" s="200" t="s">
        <v>97</v>
      </c>
      <c r="I260" s="200" t="s">
        <v>231</v>
      </c>
      <c r="J260" s="15">
        <v>15000</v>
      </c>
      <c r="K260" s="15"/>
      <c r="L260" s="15">
        <f t="shared" si="19"/>
        <v>0</v>
      </c>
      <c r="M260" s="15">
        <v>16000</v>
      </c>
      <c r="N260" s="15">
        <f t="shared" si="20"/>
        <v>240000000</v>
      </c>
      <c r="O260" s="15" t="str">
        <f>IF(AND(A260='BANG KE NL'!$M$11,TH!C260="NL",LEFT(D260,1)="N"),"x","")</f>
        <v/>
      </c>
    </row>
    <row r="261" spans="1:15" hidden="1">
      <c r="A261" s="24">
        <f t="shared" si="16"/>
        <v>8</v>
      </c>
      <c r="B261" s="176" t="str">
        <f>IF(AND(MONTH(E261)='IN-NX'!$J$5,'IN-NX'!$D$7=(D261&amp;"/"&amp;C261)),"x","")</f>
        <v>x</v>
      </c>
      <c r="C261" s="173" t="s">
        <v>226</v>
      </c>
      <c r="D261" s="173" t="s">
        <v>214</v>
      </c>
      <c r="E261" s="70">
        <v>42217</v>
      </c>
      <c r="F261" s="62" t="s">
        <v>55</v>
      </c>
      <c r="G261" s="19" t="s">
        <v>204</v>
      </c>
      <c r="H261" s="200" t="s">
        <v>231</v>
      </c>
      <c r="I261" s="57" t="s">
        <v>124</v>
      </c>
      <c r="J261" s="15">
        <v>11500</v>
      </c>
      <c r="K261" s="15">
        <v>6970</v>
      </c>
      <c r="L261" s="15">
        <f t="shared" si="19"/>
        <v>80155000</v>
      </c>
      <c r="M261" s="15"/>
      <c r="N261" s="15">
        <f t="shared" si="20"/>
        <v>0</v>
      </c>
      <c r="O261" s="15" t="str">
        <f>IF(AND(A261='BANG KE NL'!$M$11,TH!C261="NL",LEFT(D261,1)="N"),"x","")</f>
        <v/>
      </c>
    </row>
    <row r="262" spans="1:15" hidden="1">
      <c r="A262" s="24">
        <f t="shared" ref="A262:A454" si="21">IF(E262&lt;&gt;"",MONTH(E262),"")</f>
        <v>8</v>
      </c>
      <c r="B262" s="176" t="str">
        <f>IF(AND(MONTH(E262)='IN-NX'!$J$5,'IN-NX'!$D$7=(D262&amp;"/"&amp;C262)),"x","")</f>
        <v/>
      </c>
      <c r="C262" s="173" t="s">
        <v>226</v>
      </c>
      <c r="D262" s="173" t="s">
        <v>215</v>
      </c>
      <c r="E262" s="70">
        <v>42217</v>
      </c>
      <c r="F262" s="62" t="s">
        <v>55</v>
      </c>
      <c r="G262" s="19" t="s">
        <v>205</v>
      </c>
      <c r="H262" s="200" t="s">
        <v>231</v>
      </c>
      <c r="I262" s="57" t="s">
        <v>124</v>
      </c>
      <c r="J262" s="15">
        <v>11500</v>
      </c>
      <c r="K262" s="15">
        <v>6730</v>
      </c>
      <c r="L262" s="15">
        <f t="shared" si="19"/>
        <v>77395000</v>
      </c>
      <c r="M262" s="15"/>
      <c r="N262" s="15">
        <f t="shared" si="20"/>
        <v>0</v>
      </c>
      <c r="O262" s="15" t="str">
        <f>IF(AND(A262='BANG KE NL'!$M$11,TH!C262="NL",LEFT(D262,1)="N"),"x","")</f>
        <v/>
      </c>
    </row>
    <row r="263" spans="1:15" hidden="1">
      <c r="A263" s="24">
        <f t="shared" si="21"/>
        <v>8</v>
      </c>
      <c r="B263" s="176" t="str">
        <f>IF(AND(MONTH(E263)='IN-NX'!$J$5,'IN-NX'!$D$7=(D263&amp;"/"&amp;C263)),"x","")</f>
        <v/>
      </c>
      <c r="C263" s="173" t="s">
        <v>226</v>
      </c>
      <c r="D263" s="173" t="s">
        <v>216</v>
      </c>
      <c r="E263" s="70">
        <v>42217</v>
      </c>
      <c r="F263" s="62" t="s">
        <v>55</v>
      </c>
      <c r="G263" s="19" t="s">
        <v>206</v>
      </c>
      <c r="H263" s="200" t="s">
        <v>231</v>
      </c>
      <c r="I263" s="57" t="s">
        <v>124</v>
      </c>
      <c r="J263" s="15">
        <v>11500</v>
      </c>
      <c r="K263" s="15">
        <v>6893</v>
      </c>
      <c r="L263" s="15">
        <f t="shared" si="19"/>
        <v>79269500</v>
      </c>
      <c r="M263" s="15"/>
      <c r="N263" s="15">
        <f t="shared" si="20"/>
        <v>0</v>
      </c>
      <c r="O263" s="15" t="str">
        <f>IF(AND(A263='BANG KE NL'!$M$11,TH!C263="NL",LEFT(D263,1)="N"),"x","")</f>
        <v/>
      </c>
    </row>
    <row r="264" spans="1:15" hidden="1">
      <c r="A264" s="24">
        <f t="shared" si="21"/>
        <v>8</v>
      </c>
      <c r="B264" s="176" t="str">
        <f>IF(AND(MONTH(E264)='IN-NX'!$J$5,'IN-NX'!$D$7=(D264&amp;"/"&amp;C264)),"x","")</f>
        <v/>
      </c>
      <c r="C264" s="173" t="s">
        <v>226</v>
      </c>
      <c r="D264" s="173" t="s">
        <v>217</v>
      </c>
      <c r="E264" s="70">
        <v>42217</v>
      </c>
      <c r="F264" s="62" t="s">
        <v>55</v>
      </c>
      <c r="G264" s="19" t="s">
        <v>208</v>
      </c>
      <c r="H264" s="200" t="s">
        <v>231</v>
      </c>
      <c r="I264" s="57" t="s">
        <v>124</v>
      </c>
      <c r="J264" s="15">
        <v>11500</v>
      </c>
      <c r="K264" s="15">
        <v>7382</v>
      </c>
      <c r="L264" s="15">
        <f t="shared" si="19"/>
        <v>84893000</v>
      </c>
      <c r="M264" s="15"/>
      <c r="N264" s="15">
        <f t="shared" si="20"/>
        <v>0</v>
      </c>
      <c r="O264" s="15" t="str">
        <f>IF(AND(A264='BANG KE NL'!$M$11,TH!C264="NL",LEFT(D264,1)="N"),"x","")</f>
        <v/>
      </c>
    </row>
    <row r="265" spans="1:15" hidden="1">
      <c r="A265" s="24">
        <f t="shared" si="21"/>
        <v>8</v>
      </c>
      <c r="B265" s="176" t="str">
        <f>IF(AND(MONTH(E265)='IN-NX'!$J$5,'IN-NX'!$D$7=(D265&amp;"/"&amp;C265)),"x","")</f>
        <v/>
      </c>
      <c r="C265" s="173" t="s">
        <v>226</v>
      </c>
      <c r="D265" s="173" t="s">
        <v>218</v>
      </c>
      <c r="E265" s="70">
        <v>42217</v>
      </c>
      <c r="F265" s="62" t="s">
        <v>55</v>
      </c>
      <c r="G265" s="19" t="s">
        <v>207</v>
      </c>
      <c r="H265" s="200" t="s">
        <v>231</v>
      </c>
      <c r="I265" s="57" t="s">
        <v>124</v>
      </c>
      <c r="J265" s="15">
        <v>11500</v>
      </c>
      <c r="K265" s="15">
        <v>6689</v>
      </c>
      <c r="L265" s="15">
        <f t="shared" si="19"/>
        <v>76923500</v>
      </c>
      <c r="M265" s="15"/>
      <c r="N265" s="15">
        <f t="shared" si="20"/>
        <v>0</v>
      </c>
      <c r="O265" s="15" t="str">
        <f>IF(AND(A265='BANG KE NL'!$M$11,TH!C265="NL",LEFT(D265,1)="N"),"x","")</f>
        <v/>
      </c>
    </row>
    <row r="266" spans="1:15" hidden="1">
      <c r="A266" s="24">
        <f t="shared" si="21"/>
        <v>8</v>
      </c>
      <c r="B266" s="176" t="str">
        <f>IF(AND(MONTH(E266)='IN-NX'!$J$5,'IN-NX'!$D$7=(D266&amp;"/"&amp;C266)),"x","")</f>
        <v/>
      </c>
      <c r="C266" s="173" t="s">
        <v>226</v>
      </c>
      <c r="D266" s="173" t="s">
        <v>219</v>
      </c>
      <c r="E266" s="70">
        <v>42221</v>
      </c>
      <c r="F266" s="62" t="s">
        <v>55</v>
      </c>
      <c r="G266" s="19" t="s">
        <v>202</v>
      </c>
      <c r="H266" s="200" t="s">
        <v>231</v>
      </c>
      <c r="I266" s="57" t="s">
        <v>124</v>
      </c>
      <c r="J266" s="15">
        <v>11500</v>
      </c>
      <c r="K266" s="15">
        <v>6872</v>
      </c>
      <c r="L266" s="15">
        <f t="shared" si="19"/>
        <v>79028000</v>
      </c>
      <c r="M266" s="15"/>
      <c r="N266" s="15">
        <f t="shared" si="20"/>
        <v>0</v>
      </c>
      <c r="O266" s="15" t="str">
        <f>IF(AND(A266='BANG KE NL'!$M$11,TH!C266="NL",LEFT(D266,1)="N"),"x","")</f>
        <v/>
      </c>
    </row>
    <row r="267" spans="1:15" hidden="1">
      <c r="A267" s="24">
        <f t="shared" si="21"/>
        <v>8</v>
      </c>
      <c r="B267" s="176" t="str">
        <f>IF(AND(MONTH(E267)='IN-NX'!$J$5,'IN-NX'!$D$7=(D267&amp;"/"&amp;C267)),"x","")</f>
        <v/>
      </c>
      <c r="C267" s="173" t="s">
        <v>226</v>
      </c>
      <c r="D267" s="173" t="s">
        <v>232</v>
      </c>
      <c r="E267" s="70">
        <v>42221</v>
      </c>
      <c r="F267" s="62" t="s">
        <v>55</v>
      </c>
      <c r="G267" s="19" t="s">
        <v>210</v>
      </c>
      <c r="H267" s="200" t="s">
        <v>231</v>
      </c>
      <c r="I267" s="57" t="s">
        <v>124</v>
      </c>
      <c r="J267" s="15">
        <v>11500</v>
      </c>
      <c r="K267" s="15">
        <v>6170</v>
      </c>
      <c r="L267" s="15">
        <f t="shared" si="19"/>
        <v>70955000</v>
      </c>
      <c r="M267" s="15"/>
      <c r="N267" s="15">
        <f t="shared" si="20"/>
        <v>0</v>
      </c>
      <c r="O267" s="15" t="str">
        <f>IF(AND(A267='BANG KE NL'!$M$11,TH!C267="NL",LEFT(D267,1)="N"),"x","")</f>
        <v/>
      </c>
    </row>
    <row r="268" spans="1:15" hidden="1">
      <c r="A268" s="24">
        <f t="shared" si="21"/>
        <v>8</v>
      </c>
      <c r="B268" s="176" t="str">
        <f>IF(AND(MONTH(E268)='IN-NX'!$J$5,'IN-NX'!$D$7=(D268&amp;"/"&amp;C268)),"x","")</f>
        <v/>
      </c>
      <c r="C268" s="173" t="s">
        <v>226</v>
      </c>
      <c r="D268" s="173" t="s">
        <v>234</v>
      </c>
      <c r="E268" s="70">
        <v>42221</v>
      </c>
      <c r="F268" s="62" t="s">
        <v>55</v>
      </c>
      <c r="G268" s="19" t="s">
        <v>205</v>
      </c>
      <c r="H268" s="200" t="s">
        <v>231</v>
      </c>
      <c r="I268" s="57" t="s">
        <v>124</v>
      </c>
      <c r="J268" s="15">
        <v>11500</v>
      </c>
      <c r="K268" s="15">
        <v>6439</v>
      </c>
      <c r="L268" s="15">
        <f t="shared" si="19"/>
        <v>74048500</v>
      </c>
      <c r="M268" s="15"/>
      <c r="N268" s="15">
        <f t="shared" si="20"/>
        <v>0</v>
      </c>
      <c r="O268" s="15" t="str">
        <f>IF(AND(A268='BANG KE NL'!$M$11,TH!C268="NL",LEFT(D268,1)="N"),"x","")</f>
        <v/>
      </c>
    </row>
    <row r="269" spans="1:15" hidden="1">
      <c r="A269" s="24">
        <f t="shared" si="21"/>
        <v>8</v>
      </c>
      <c r="B269" s="176" t="str">
        <f>IF(AND(MONTH(E269)='IN-NX'!$J$5,'IN-NX'!$D$7=(D269&amp;"/"&amp;C269)),"x","")</f>
        <v/>
      </c>
      <c r="C269" s="173" t="s">
        <v>226</v>
      </c>
      <c r="D269" s="173" t="s">
        <v>235</v>
      </c>
      <c r="E269" s="70">
        <v>42221</v>
      </c>
      <c r="F269" s="62" t="s">
        <v>55</v>
      </c>
      <c r="G269" s="19" t="s">
        <v>206</v>
      </c>
      <c r="H269" s="200" t="s">
        <v>231</v>
      </c>
      <c r="I269" s="57" t="s">
        <v>124</v>
      </c>
      <c r="J269" s="15">
        <v>11500</v>
      </c>
      <c r="K269" s="15">
        <v>6973</v>
      </c>
      <c r="L269" s="15">
        <f t="shared" si="19"/>
        <v>80189500</v>
      </c>
      <c r="M269" s="15"/>
      <c r="N269" s="15">
        <f t="shared" si="20"/>
        <v>0</v>
      </c>
      <c r="O269" s="15" t="str">
        <f>IF(AND(A269='BANG KE NL'!$M$11,TH!C269="NL",LEFT(D269,1)="N"),"x","")</f>
        <v/>
      </c>
    </row>
    <row r="270" spans="1:15" hidden="1">
      <c r="A270" s="24">
        <f t="shared" si="21"/>
        <v>8</v>
      </c>
      <c r="B270" s="176" t="str">
        <f>IF(AND(MONTH(E270)='IN-NX'!$J$5,'IN-NX'!$D$7=(D270&amp;"/"&amp;C270)),"x","")</f>
        <v/>
      </c>
      <c r="C270" s="173" t="s">
        <v>226</v>
      </c>
      <c r="D270" s="173" t="s">
        <v>239</v>
      </c>
      <c r="E270" s="70">
        <v>42224</v>
      </c>
      <c r="F270" s="62" t="s">
        <v>55</v>
      </c>
      <c r="G270" s="19" t="s">
        <v>204</v>
      </c>
      <c r="H270" s="200" t="s">
        <v>231</v>
      </c>
      <c r="I270" s="57" t="s">
        <v>124</v>
      </c>
      <c r="J270" s="15">
        <v>11500</v>
      </c>
      <c r="K270" s="15">
        <v>6830</v>
      </c>
      <c r="L270" s="15">
        <f t="shared" ref="L270:L292" si="22">ROUND(J270*K270,0)</f>
        <v>78545000</v>
      </c>
      <c r="M270" s="15"/>
      <c r="N270" s="15">
        <f t="shared" ref="N270:N292" si="23">ROUND(J270*M270,0)</f>
        <v>0</v>
      </c>
      <c r="O270" s="15" t="str">
        <f>IF(AND(A270='BANG KE NL'!$M$11,TH!C270="NL",LEFT(D270,1)="N"),"x","")</f>
        <v/>
      </c>
    </row>
    <row r="271" spans="1:15" hidden="1">
      <c r="A271" s="24">
        <f t="shared" si="21"/>
        <v>8</v>
      </c>
      <c r="B271" s="176" t="str">
        <f>IF(AND(MONTH(E271)='IN-NX'!$J$5,'IN-NX'!$D$7=(D271&amp;"/"&amp;C271)),"x","")</f>
        <v/>
      </c>
      <c r="C271" s="173" t="s">
        <v>226</v>
      </c>
      <c r="D271" s="173" t="s">
        <v>240</v>
      </c>
      <c r="E271" s="70">
        <v>42224</v>
      </c>
      <c r="F271" s="62" t="s">
        <v>55</v>
      </c>
      <c r="G271" s="19" t="s">
        <v>204</v>
      </c>
      <c r="H271" s="200" t="s">
        <v>231</v>
      </c>
      <c r="I271" s="57" t="s">
        <v>124</v>
      </c>
      <c r="J271" s="15">
        <v>11500</v>
      </c>
      <c r="K271" s="15">
        <v>6450</v>
      </c>
      <c r="L271" s="15">
        <f t="shared" si="22"/>
        <v>74175000</v>
      </c>
      <c r="M271" s="15"/>
      <c r="N271" s="15">
        <f t="shared" si="23"/>
        <v>0</v>
      </c>
      <c r="O271" s="15" t="str">
        <f>IF(AND(A271='BANG KE NL'!$M$11,TH!C271="NL",LEFT(D271,1)="N"),"x","")</f>
        <v/>
      </c>
    </row>
    <row r="272" spans="1:15" hidden="1">
      <c r="A272" s="24">
        <f t="shared" si="21"/>
        <v>8</v>
      </c>
      <c r="B272" s="176" t="str">
        <f>IF(AND(MONTH(E272)='IN-NX'!$J$5,'IN-NX'!$D$7=(D272&amp;"/"&amp;C272)),"x","")</f>
        <v/>
      </c>
      <c r="C272" s="173" t="s">
        <v>226</v>
      </c>
      <c r="D272" s="173" t="s">
        <v>241</v>
      </c>
      <c r="E272" s="70">
        <v>42224</v>
      </c>
      <c r="F272" s="62" t="s">
        <v>55</v>
      </c>
      <c r="G272" s="19" t="s">
        <v>205</v>
      </c>
      <c r="H272" s="200" t="s">
        <v>231</v>
      </c>
      <c r="I272" s="57" t="s">
        <v>124</v>
      </c>
      <c r="J272" s="15">
        <v>11500</v>
      </c>
      <c r="K272" s="15">
        <v>6670</v>
      </c>
      <c r="L272" s="15">
        <f t="shared" si="22"/>
        <v>76705000</v>
      </c>
      <c r="M272" s="15"/>
      <c r="N272" s="15">
        <f t="shared" si="23"/>
        <v>0</v>
      </c>
      <c r="O272" s="15" t="str">
        <f>IF(AND(A272='BANG KE NL'!$M$11,TH!C272="NL",LEFT(D272,1)="N"),"x","")</f>
        <v/>
      </c>
    </row>
    <row r="273" spans="1:15" hidden="1">
      <c r="A273" s="24">
        <f t="shared" si="21"/>
        <v>8</v>
      </c>
      <c r="B273" s="176" t="str">
        <f>IF(AND(MONTH(E273)='IN-NX'!$J$5,'IN-NX'!$D$7=(D273&amp;"/"&amp;C273)),"x","")</f>
        <v/>
      </c>
      <c r="C273" s="173" t="s">
        <v>226</v>
      </c>
      <c r="D273" s="173" t="s">
        <v>242</v>
      </c>
      <c r="E273" s="70">
        <v>42224</v>
      </c>
      <c r="F273" s="62" t="s">
        <v>55</v>
      </c>
      <c r="G273" s="19" t="s">
        <v>206</v>
      </c>
      <c r="H273" s="200" t="s">
        <v>231</v>
      </c>
      <c r="I273" s="57" t="s">
        <v>124</v>
      </c>
      <c r="J273" s="15">
        <v>11500</v>
      </c>
      <c r="K273" s="15">
        <v>6482</v>
      </c>
      <c r="L273" s="15">
        <f t="shared" si="22"/>
        <v>74543000</v>
      </c>
      <c r="M273" s="15"/>
      <c r="N273" s="15">
        <f t="shared" si="23"/>
        <v>0</v>
      </c>
      <c r="O273" s="15" t="str">
        <f>IF(AND(A273='BANG KE NL'!$M$11,TH!C273="NL",LEFT(D273,1)="N"),"x","")</f>
        <v/>
      </c>
    </row>
    <row r="274" spans="1:15" hidden="1">
      <c r="A274" s="24">
        <f t="shared" si="21"/>
        <v>8</v>
      </c>
      <c r="B274" s="176" t="str">
        <f>IF(AND(MONTH(E274)='IN-NX'!$J$5,'IN-NX'!$D$7=(D274&amp;"/"&amp;C274)),"x","")</f>
        <v/>
      </c>
      <c r="C274" s="173" t="s">
        <v>226</v>
      </c>
      <c r="D274" s="173" t="s">
        <v>243</v>
      </c>
      <c r="E274" s="70">
        <v>42231</v>
      </c>
      <c r="F274" s="62" t="s">
        <v>55</v>
      </c>
      <c r="G274" s="19" t="s">
        <v>207</v>
      </c>
      <c r="H274" s="200" t="s">
        <v>231</v>
      </c>
      <c r="I274" s="57" t="s">
        <v>124</v>
      </c>
      <c r="J274" s="15">
        <v>11500</v>
      </c>
      <c r="K274" s="15">
        <v>6430</v>
      </c>
      <c r="L274" s="15">
        <f t="shared" si="22"/>
        <v>73945000</v>
      </c>
      <c r="M274" s="15"/>
      <c r="N274" s="15">
        <f t="shared" si="23"/>
        <v>0</v>
      </c>
      <c r="O274" s="15" t="str">
        <f>IF(AND(A274='BANG KE NL'!$M$11,TH!C274="NL",LEFT(D274,1)="N"),"x","")</f>
        <v/>
      </c>
    </row>
    <row r="275" spans="1:15" hidden="1">
      <c r="A275" s="24">
        <f t="shared" si="21"/>
        <v>8</v>
      </c>
      <c r="B275" s="176" t="str">
        <f>IF(AND(MONTH(E275)='IN-NX'!$J$5,'IN-NX'!$D$7=(D275&amp;"/"&amp;C275)),"x","")</f>
        <v/>
      </c>
      <c r="C275" s="173" t="s">
        <v>226</v>
      </c>
      <c r="D275" s="173" t="s">
        <v>244</v>
      </c>
      <c r="E275" s="70">
        <v>42231</v>
      </c>
      <c r="F275" s="62" t="s">
        <v>55</v>
      </c>
      <c r="G275" s="19" t="s">
        <v>202</v>
      </c>
      <c r="H275" s="200" t="s">
        <v>231</v>
      </c>
      <c r="I275" s="57" t="s">
        <v>124</v>
      </c>
      <c r="J275" s="15">
        <v>11500</v>
      </c>
      <c r="K275" s="15">
        <v>5692</v>
      </c>
      <c r="L275" s="15">
        <f t="shared" si="22"/>
        <v>65458000</v>
      </c>
      <c r="M275" s="15"/>
      <c r="N275" s="15">
        <f t="shared" si="23"/>
        <v>0</v>
      </c>
      <c r="O275" s="15" t="str">
        <f>IF(AND(A275='BANG KE NL'!$M$11,TH!C275="NL",LEFT(D275,1)="N"),"x","")</f>
        <v/>
      </c>
    </row>
    <row r="276" spans="1:15" hidden="1">
      <c r="A276" s="24">
        <f t="shared" si="21"/>
        <v>8</v>
      </c>
      <c r="B276" s="176" t="str">
        <f>IF(AND(MONTH(E276)='IN-NX'!$J$5,'IN-NX'!$D$7=(D276&amp;"/"&amp;C276)),"x","")</f>
        <v/>
      </c>
      <c r="C276" s="173" t="s">
        <v>226</v>
      </c>
      <c r="D276" s="173" t="s">
        <v>245</v>
      </c>
      <c r="E276" s="70">
        <v>42231</v>
      </c>
      <c r="F276" s="62" t="s">
        <v>55</v>
      </c>
      <c r="G276" s="19" t="s">
        <v>210</v>
      </c>
      <c r="H276" s="200" t="s">
        <v>231</v>
      </c>
      <c r="I276" s="57" t="s">
        <v>124</v>
      </c>
      <c r="J276" s="15">
        <v>11500</v>
      </c>
      <c r="K276" s="15">
        <v>6583</v>
      </c>
      <c r="L276" s="15">
        <f t="shared" ref="L276:L277" si="24">ROUND(J276*K276,0)</f>
        <v>75704500</v>
      </c>
      <c r="M276" s="15"/>
      <c r="N276" s="15">
        <f t="shared" si="23"/>
        <v>0</v>
      </c>
      <c r="O276" s="15" t="str">
        <f>IF(AND(A276='BANG KE NL'!$M$11,TH!C276="NL",LEFT(D276,1)="N"),"x","")</f>
        <v/>
      </c>
    </row>
    <row r="277" spans="1:15" hidden="1">
      <c r="A277" s="24">
        <f t="shared" si="21"/>
        <v>8</v>
      </c>
      <c r="B277" s="176" t="str">
        <f>IF(AND(MONTH(E277)='IN-NX'!$J$5,'IN-NX'!$D$7=(D277&amp;"/"&amp;C277)),"x","")</f>
        <v/>
      </c>
      <c r="C277" s="173" t="s">
        <v>226</v>
      </c>
      <c r="D277" s="173" t="s">
        <v>246</v>
      </c>
      <c r="E277" s="70">
        <v>42231</v>
      </c>
      <c r="F277" s="62" t="s">
        <v>55</v>
      </c>
      <c r="G277" s="19" t="s">
        <v>204</v>
      </c>
      <c r="H277" s="200" t="s">
        <v>231</v>
      </c>
      <c r="I277" s="57" t="s">
        <v>124</v>
      </c>
      <c r="J277" s="15">
        <v>11500</v>
      </c>
      <c r="K277" s="15">
        <v>6073</v>
      </c>
      <c r="L277" s="15">
        <f t="shared" si="24"/>
        <v>69839500</v>
      </c>
      <c r="M277" s="15"/>
      <c r="N277" s="15">
        <f t="shared" si="23"/>
        <v>0</v>
      </c>
      <c r="O277" s="15" t="str">
        <f>IF(AND(A277='BANG KE NL'!$M$11,TH!C277="NL",LEFT(D277,1)="N"),"x","")</f>
        <v/>
      </c>
    </row>
    <row r="278" spans="1:15" hidden="1">
      <c r="A278" s="24">
        <f t="shared" si="21"/>
        <v>8</v>
      </c>
      <c r="B278" s="176" t="str">
        <f>IF(AND(MONTH(E278)='IN-NX'!$J$5,'IN-NX'!$D$7=(D278&amp;"/"&amp;C278)),"x","")</f>
        <v/>
      </c>
      <c r="C278" s="173" t="s">
        <v>226</v>
      </c>
      <c r="D278" s="173" t="s">
        <v>250</v>
      </c>
      <c r="E278" s="70">
        <v>42241</v>
      </c>
      <c r="F278" s="62" t="s">
        <v>55</v>
      </c>
      <c r="G278" s="19" t="s">
        <v>204</v>
      </c>
      <c r="H278" s="200" t="s">
        <v>231</v>
      </c>
      <c r="I278" s="57" t="s">
        <v>124</v>
      </c>
      <c r="J278" s="15">
        <v>11500</v>
      </c>
      <c r="K278" s="15">
        <v>6013</v>
      </c>
      <c r="L278" s="15">
        <f t="shared" si="22"/>
        <v>69149500</v>
      </c>
      <c r="M278" s="15"/>
      <c r="N278" s="15">
        <f t="shared" si="23"/>
        <v>0</v>
      </c>
      <c r="O278" s="15" t="str">
        <f>IF(AND(A278='BANG KE NL'!$M$11,TH!C278="NL",LEFT(D278,1)="N"),"x","")</f>
        <v/>
      </c>
    </row>
    <row r="279" spans="1:15" hidden="1">
      <c r="A279" s="24">
        <f t="shared" si="21"/>
        <v>8</v>
      </c>
      <c r="B279" s="176" t="str">
        <f>IF(AND(MONTH(E279)='IN-NX'!$J$5,'IN-NX'!$D$7=(D279&amp;"/"&amp;C279)),"x","")</f>
        <v/>
      </c>
      <c r="C279" s="173" t="s">
        <v>226</v>
      </c>
      <c r="D279" s="173" t="s">
        <v>251</v>
      </c>
      <c r="E279" s="70">
        <v>42241</v>
      </c>
      <c r="F279" s="62" t="s">
        <v>55</v>
      </c>
      <c r="G279" s="19" t="s">
        <v>205</v>
      </c>
      <c r="H279" s="200" t="s">
        <v>231</v>
      </c>
      <c r="I279" s="57" t="s">
        <v>124</v>
      </c>
      <c r="J279" s="15">
        <v>11500</v>
      </c>
      <c r="K279" s="15">
        <f>125400-SUM(K261:K278)</f>
        <v>7059</v>
      </c>
      <c r="L279" s="15">
        <f t="shared" si="22"/>
        <v>81178500</v>
      </c>
      <c r="M279" s="15"/>
      <c r="N279" s="15">
        <f t="shared" si="23"/>
        <v>0</v>
      </c>
      <c r="O279" s="15" t="str">
        <f>IF(AND(A279='BANG KE NL'!$M$11,TH!C279="NL",LEFT(D279,1)="N"),"x","")</f>
        <v/>
      </c>
    </row>
    <row r="280" spans="1:15" hidden="1">
      <c r="A280" s="24">
        <f t="shared" si="21"/>
        <v>8</v>
      </c>
      <c r="B280" s="176" t="str">
        <f>IF(AND(MONTH(E280)='IN-NX'!$J$5,'IN-NX'!$D$7=(D280&amp;"/"&amp;C280)),"x","")</f>
        <v/>
      </c>
      <c r="C280" s="173" t="s">
        <v>226</v>
      </c>
      <c r="D280" s="173" t="s">
        <v>220</v>
      </c>
      <c r="E280" s="70">
        <v>42217</v>
      </c>
      <c r="F280" s="62" t="s">
        <v>55</v>
      </c>
      <c r="G280" s="19" t="s">
        <v>229</v>
      </c>
      <c r="H280" s="200" t="s">
        <v>97</v>
      </c>
      <c r="I280" s="200" t="s">
        <v>231</v>
      </c>
      <c r="J280" s="15">
        <v>11500</v>
      </c>
      <c r="K280" s="15"/>
      <c r="L280" s="15">
        <f>ROUND(J280*K280,0)</f>
        <v>0</v>
      </c>
      <c r="M280" s="15">
        <v>34664</v>
      </c>
      <c r="N280" s="15">
        <f t="shared" si="23"/>
        <v>398636000</v>
      </c>
      <c r="O280" s="15" t="str">
        <f>IF(AND(A280='BANG KE NL'!$M$11,TH!C280="NL",LEFT(D280,1)="N"),"x","")</f>
        <v/>
      </c>
    </row>
    <row r="281" spans="1:15" hidden="1">
      <c r="A281" s="24">
        <f t="shared" si="21"/>
        <v>8</v>
      </c>
      <c r="B281" s="176" t="str">
        <f>IF(AND(MONTH(E281)='IN-NX'!$J$5,'IN-NX'!$D$7=(D281&amp;"/"&amp;C281)),"x","")</f>
        <v/>
      </c>
      <c r="C281" s="173" t="s">
        <v>226</v>
      </c>
      <c r="D281" s="173" t="s">
        <v>221</v>
      </c>
      <c r="E281" s="70">
        <v>42221</v>
      </c>
      <c r="F281" s="62" t="s">
        <v>55</v>
      </c>
      <c r="G281" s="19" t="s">
        <v>229</v>
      </c>
      <c r="H281" s="200" t="s">
        <v>97</v>
      </c>
      <c r="I281" s="200" t="s">
        <v>231</v>
      </c>
      <c r="J281" s="15">
        <v>11500</v>
      </c>
      <c r="K281" s="15"/>
      <c r="L281" s="15">
        <f>ROUND(J281*K281,0)</f>
        <v>0</v>
      </c>
      <c r="M281" s="15">
        <v>26454</v>
      </c>
      <c r="N281" s="15">
        <f t="shared" si="23"/>
        <v>304221000</v>
      </c>
      <c r="O281" s="15" t="str">
        <f>IF(AND(A281='BANG KE NL'!$M$11,TH!C281="NL",LEFT(D281,1)="N"),"x","")</f>
        <v/>
      </c>
    </row>
    <row r="282" spans="1:15" hidden="1">
      <c r="A282" s="24">
        <f t="shared" si="21"/>
        <v>8</v>
      </c>
      <c r="B282" s="176" t="str">
        <f>IF(AND(MONTH(E282)='IN-NX'!$J$5,'IN-NX'!$D$7=(D282&amp;"/"&amp;C282)),"x","")</f>
        <v/>
      </c>
      <c r="C282" s="173" t="s">
        <v>226</v>
      </c>
      <c r="D282" s="173" t="s">
        <v>222</v>
      </c>
      <c r="E282" s="70">
        <v>42224</v>
      </c>
      <c r="F282" s="62" t="s">
        <v>55</v>
      </c>
      <c r="G282" s="19" t="s">
        <v>229</v>
      </c>
      <c r="H282" s="200" t="s">
        <v>97</v>
      </c>
      <c r="I282" s="200" t="s">
        <v>231</v>
      </c>
      <c r="J282" s="15">
        <v>11500</v>
      </c>
      <c r="K282" s="15"/>
      <c r="L282" s="15">
        <f>ROUND(J282*K282,0)</f>
        <v>0</v>
      </c>
      <c r="M282" s="15">
        <v>26432</v>
      </c>
      <c r="N282" s="15">
        <f t="shared" si="23"/>
        <v>303968000</v>
      </c>
      <c r="O282" s="15" t="str">
        <f>IF(AND(A282='BANG KE NL'!$M$11,TH!C282="NL",LEFT(D282,1)="N"),"x","")</f>
        <v/>
      </c>
    </row>
    <row r="283" spans="1:15" hidden="1">
      <c r="A283" s="24">
        <f t="shared" si="21"/>
        <v>8</v>
      </c>
      <c r="B283" s="176" t="str">
        <f>IF(AND(MONTH(E283)='IN-NX'!$J$5,'IN-NX'!$D$7=(D283&amp;"/"&amp;C283)),"x","")</f>
        <v/>
      </c>
      <c r="C283" s="173" t="s">
        <v>226</v>
      </c>
      <c r="D283" s="173" t="s">
        <v>223</v>
      </c>
      <c r="E283" s="70">
        <v>42231</v>
      </c>
      <c r="F283" s="62" t="s">
        <v>55</v>
      </c>
      <c r="G283" s="19" t="s">
        <v>229</v>
      </c>
      <c r="H283" s="200" t="s">
        <v>97</v>
      </c>
      <c r="I283" s="200" t="s">
        <v>231</v>
      </c>
      <c r="J283" s="15">
        <v>11500</v>
      </c>
      <c r="K283" s="15"/>
      <c r="L283" s="15">
        <f t="shared" si="22"/>
        <v>0</v>
      </c>
      <c r="M283" s="15">
        <v>24778</v>
      </c>
      <c r="N283" s="15">
        <f t="shared" si="23"/>
        <v>284947000</v>
      </c>
      <c r="O283" s="15" t="str">
        <f>IF(AND(A283='BANG KE NL'!$M$11,TH!C283="NL",LEFT(D283,1)="N"),"x","")</f>
        <v/>
      </c>
    </row>
    <row r="284" spans="1:15" hidden="1">
      <c r="A284" s="24">
        <f t="shared" si="21"/>
        <v>8</v>
      </c>
      <c r="B284" s="176" t="str">
        <f>IF(AND(MONTH(E284)='IN-NX'!$J$5,'IN-NX'!$D$7=(D284&amp;"/"&amp;C284)),"x","")</f>
        <v/>
      </c>
      <c r="C284" s="173" t="s">
        <v>226</v>
      </c>
      <c r="D284" s="173" t="s">
        <v>268</v>
      </c>
      <c r="E284" s="70">
        <v>42241</v>
      </c>
      <c r="F284" s="62" t="s">
        <v>55</v>
      </c>
      <c r="G284" s="19" t="s">
        <v>229</v>
      </c>
      <c r="H284" s="200" t="s">
        <v>97</v>
      </c>
      <c r="I284" s="200" t="s">
        <v>231</v>
      </c>
      <c r="J284" s="15">
        <v>11500</v>
      </c>
      <c r="K284" s="15"/>
      <c r="L284" s="15">
        <f t="shared" si="22"/>
        <v>0</v>
      </c>
      <c r="M284" s="15">
        <v>13072</v>
      </c>
      <c r="N284" s="15">
        <f t="shared" si="23"/>
        <v>150328000</v>
      </c>
      <c r="O284" s="15" t="str">
        <f>IF(AND(A284='BANG KE NL'!$M$11,TH!C284="NL",LEFT(D284,1)="N"),"x","")</f>
        <v/>
      </c>
    </row>
    <row r="285" spans="1:15" hidden="1">
      <c r="A285" s="24">
        <f t="shared" si="21"/>
        <v>8</v>
      </c>
      <c r="B285" s="176" t="str">
        <f>IF(AND(MONTH(E285)='IN-NX'!$J$5,'IN-NX'!$D$7=(D285&amp;"/"&amp;C285)),"x","")</f>
        <v/>
      </c>
      <c r="C285" s="173" t="s">
        <v>226</v>
      </c>
      <c r="D285" s="173" t="s">
        <v>236</v>
      </c>
      <c r="E285" s="70">
        <v>42221</v>
      </c>
      <c r="F285" s="62" t="s">
        <v>69</v>
      </c>
      <c r="G285" s="19" t="s">
        <v>172</v>
      </c>
      <c r="H285" s="200" t="s">
        <v>231</v>
      </c>
      <c r="I285" s="57" t="s">
        <v>124</v>
      </c>
      <c r="J285" s="15">
        <v>16000</v>
      </c>
      <c r="K285" s="15">
        <v>6780</v>
      </c>
      <c r="L285" s="15">
        <f t="shared" si="22"/>
        <v>108480000</v>
      </c>
      <c r="M285" s="15"/>
      <c r="N285" s="15">
        <f t="shared" si="23"/>
        <v>0</v>
      </c>
      <c r="O285" s="15" t="str">
        <f>IF(AND(A285='BANG KE NL'!$M$11,TH!C285="NL",LEFT(D285,1)="N"),"x","")</f>
        <v/>
      </c>
    </row>
    <row r="286" spans="1:15" hidden="1">
      <c r="A286" s="24">
        <f t="shared" si="21"/>
        <v>8</v>
      </c>
      <c r="B286" s="176" t="str">
        <f>IF(AND(MONTH(E286)='IN-NX'!$J$5,'IN-NX'!$D$7=(D286&amp;"/"&amp;C286)),"x","")</f>
        <v/>
      </c>
      <c r="C286" s="173" t="s">
        <v>226</v>
      </c>
      <c r="D286" s="173" t="s">
        <v>237</v>
      </c>
      <c r="E286" s="70">
        <v>42221</v>
      </c>
      <c r="F286" s="62" t="s">
        <v>69</v>
      </c>
      <c r="G286" s="19" t="s">
        <v>167</v>
      </c>
      <c r="H286" s="200" t="s">
        <v>231</v>
      </c>
      <c r="I286" s="57" t="s">
        <v>124</v>
      </c>
      <c r="J286" s="15">
        <v>16000</v>
      </c>
      <c r="K286" s="15">
        <v>6930</v>
      </c>
      <c r="L286" s="15">
        <f t="shared" si="22"/>
        <v>110880000</v>
      </c>
      <c r="M286" s="15"/>
      <c r="N286" s="15">
        <f t="shared" si="23"/>
        <v>0</v>
      </c>
      <c r="O286" s="15" t="str">
        <f>IF(AND(A286='BANG KE NL'!$M$11,TH!C286="NL",LEFT(D286,1)="N"),"x","")</f>
        <v/>
      </c>
    </row>
    <row r="287" spans="1:15" hidden="1">
      <c r="A287" s="24">
        <f t="shared" si="21"/>
        <v>8</v>
      </c>
      <c r="B287" s="176" t="str">
        <f>IF(AND(MONTH(E287)='IN-NX'!$J$5,'IN-NX'!$D$7=(D287&amp;"/"&amp;C287)),"x","")</f>
        <v/>
      </c>
      <c r="C287" s="173" t="s">
        <v>226</v>
      </c>
      <c r="D287" s="173" t="s">
        <v>238</v>
      </c>
      <c r="E287" s="70">
        <v>42221</v>
      </c>
      <c r="F287" s="62" t="s">
        <v>69</v>
      </c>
      <c r="G287" s="19" t="s">
        <v>173</v>
      </c>
      <c r="H287" s="200" t="s">
        <v>231</v>
      </c>
      <c r="I287" s="57" t="s">
        <v>124</v>
      </c>
      <c r="J287" s="15">
        <v>16000</v>
      </c>
      <c r="K287" s="15">
        <v>6830</v>
      </c>
      <c r="L287" s="15">
        <f t="shared" si="22"/>
        <v>109280000</v>
      </c>
      <c r="M287" s="15"/>
      <c r="N287" s="15">
        <f t="shared" si="23"/>
        <v>0</v>
      </c>
      <c r="O287" s="15" t="str">
        <f>IF(AND(A287='BANG KE NL'!$M$11,TH!C287="NL",LEFT(D287,1)="N"),"x","")</f>
        <v/>
      </c>
    </row>
    <row r="288" spans="1:15" hidden="1">
      <c r="A288" s="24">
        <f t="shared" si="21"/>
        <v>8</v>
      </c>
      <c r="B288" s="176" t="str">
        <f>IF(AND(MONTH(E288)='IN-NX'!$J$5,'IN-NX'!$D$7=(D288&amp;"/"&amp;C288)),"x","")</f>
        <v/>
      </c>
      <c r="C288" s="173" t="s">
        <v>226</v>
      </c>
      <c r="D288" s="173" t="s">
        <v>247</v>
      </c>
      <c r="E288" s="70">
        <v>42236</v>
      </c>
      <c r="F288" s="62" t="s">
        <v>69</v>
      </c>
      <c r="G288" s="19" t="s">
        <v>167</v>
      </c>
      <c r="H288" s="200" t="s">
        <v>231</v>
      </c>
      <c r="I288" s="57" t="s">
        <v>124</v>
      </c>
      <c r="J288" s="15">
        <v>16000</v>
      </c>
      <c r="K288" s="15">
        <v>6730</v>
      </c>
      <c r="L288" s="15">
        <f t="shared" ref="L288:L291" si="25">ROUND(J288*K288,0)</f>
        <v>107680000</v>
      </c>
      <c r="M288" s="15"/>
      <c r="N288" s="15">
        <f t="shared" si="23"/>
        <v>0</v>
      </c>
      <c r="O288" s="15" t="str">
        <f>IF(AND(A288='BANG KE NL'!$M$11,TH!C288="NL",LEFT(D288,1)="N"),"x","")</f>
        <v/>
      </c>
    </row>
    <row r="289" spans="1:15" hidden="1">
      <c r="A289" s="24">
        <f t="shared" si="21"/>
        <v>8</v>
      </c>
      <c r="B289" s="176" t="str">
        <f>IF(AND(MONTH(E289)='IN-NX'!$J$5,'IN-NX'!$D$7=(D289&amp;"/"&amp;C289)),"x","")</f>
        <v/>
      </c>
      <c r="C289" s="173" t="s">
        <v>226</v>
      </c>
      <c r="D289" s="173" t="s">
        <v>248</v>
      </c>
      <c r="E289" s="70">
        <v>42236</v>
      </c>
      <c r="F289" s="62" t="s">
        <v>69</v>
      </c>
      <c r="G289" s="19" t="s">
        <v>172</v>
      </c>
      <c r="H289" s="200" t="s">
        <v>231</v>
      </c>
      <c r="I289" s="57" t="s">
        <v>124</v>
      </c>
      <c r="J289" s="15">
        <v>16000</v>
      </c>
      <c r="K289" s="15">
        <v>6043</v>
      </c>
      <c r="L289" s="15">
        <f t="shared" ref="L289" si="26">ROUND(J289*K289,0)</f>
        <v>96688000</v>
      </c>
      <c r="M289" s="15"/>
      <c r="N289" s="15">
        <f t="shared" si="23"/>
        <v>0</v>
      </c>
      <c r="O289" s="15" t="str">
        <f>IF(AND(A289='BANG KE NL'!$M$11,TH!C289="NL",LEFT(D289,1)="N"),"x","")</f>
        <v/>
      </c>
    </row>
    <row r="290" spans="1:15" hidden="1">
      <c r="A290" s="24">
        <f t="shared" si="21"/>
        <v>8</v>
      </c>
      <c r="B290" s="176" t="str">
        <f>IF(AND(MONTH(E290)='IN-NX'!$J$5,'IN-NX'!$D$7=(D290&amp;"/"&amp;C290)),"x","")</f>
        <v/>
      </c>
      <c r="C290" s="173" t="s">
        <v>226</v>
      </c>
      <c r="D290" s="173" t="s">
        <v>249</v>
      </c>
      <c r="E290" s="70">
        <v>42236</v>
      </c>
      <c r="F290" s="62" t="s">
        <v>69</v>
      </c>
      <c r="G290" s="19" t="s">
        <v>173</v>
      </c>
      <c r="H290" s="200" t="s">
        <v>231</v>
      </c>
      <c r="I290" s="57" t="s">
        <v>124</v>
      </c>
      <c r="J290" s="15">
        <v>16000</v>
      </c>
      <c r="K290" s="15">
        <f>39360-SUM(K285:K289)</f>
        <v>6047</v>
      </c>
      <c r="L290" s="15">
        <f t="shared" si="25"/>
        <v>96752000</v>
      </c>
      <c r="M290" s="15"/>
      <c r="N290" s="15">
        <f t="shared" si="23"/>
        <v>0</v>
      </c>
      <c r="O290" s="15" t="str">
        <f>IF(AND(A290='BANG KE NL'!$M$11,TH!C290="NL",LEFT(D290,1)="N"),"x","")</f>
        <v/>
      </c>
    </row>
    <row r="291" spans="1:15" hidden="1">
      <c r="A291" s="24">
        <f t="shared" si="21"/>
        <v>8</v>
      </c>
      <c r="B291" s="176" t="str">
        <f>IF(AND(MONTH(E291)='IN-NX'!$J$5,'IN-NX'!$D$7=(D291&amp;"/"&amp;C291)),"x","")</f>
        <v/>
      </c>
      <c r="C291" s="173" t="s">
        <v>226</v>
      </c>
      <c r="D291" s="173" t="s">
        <v>221</v>
      </c>
      <c r="E291" s="70">
        <v>42221</v>
      </c>
      <c r="F291" s="62" t="s">
        <v>69</v>
      </c>
      <c r="G291" s="19" t="s">
        <v>229</v>
      </c>
      <c r="H291" s="200" t="s">
        <v>97</v>
      </c>
      <c r="I291" s="200" t="s">
        <v>231</v>
      </c>
      <c r="J291" s="15">
        <v>16000</v>
      </c>
      <c r="K291" s="15"/>
      <c r="L291" s="15">
        <f t="shared" si="25"/>
        <v>0</v>
      </c>
      <c r="M291" s="15">
        <v>20540</v>
      </c>
      <c r="N291" s="15">
        <f t="shared" si="23"/>
        <v>328640000</v>
      </c>
      <c r="O291" s="15" t="str">
        <f>IF(AND(A291='BANG KE NL'!$M$11,TH!C291="NL",LEFT(D291,1)="N"),"x","")</f>
        <v/>
      </c>
    </row>
    <row r="292" spans="1:15" hidden="1">
      <c r="A292" s="24">
        <f t="shared" si="21"/>
        <v>8</v>
      </c>
      <c r="B292" s="176" t="str">
        <f>IF(AND(MONTH(E292)='IN-NX'!$J$5,'IN-NX'!$D$7=(D292&amp;"/"&amp;C292)),"x","")</f>
        <v/>
      </c>
      <c r="C292" s="173" t="s">
        <v>226</v>
      </c>
      <c r="D292" s="173" t="s">
        <v>230</v>
      </c>
      <c r="E292" s="70">
        <v>42236</v>
      </c>
      <c r="F292" s="62" t="s">
        <v>69</v>
      </c>
      <c r="G292" s="19" t="s">
        <v>229</v>
      </c>
      <c r="H292" s="200" t="s">
        <v>97</v>
      </c>
      <c r="I292" s="200" t="s">
        <v>231</v>
      </c>
      <c r="J292" s="15">
        <v>16000</v>
      </c>
      <c r="K292" s="15"/>
      <c r="L292" s="15">
        <f t="shared" si="22"/>
        <v>0</v>
      </c>
      <c r="M292" s="15">
        <v>18820</v>
      </c>
      <c r="N292" s="15">
        <f t="shared" si="23"/>
        <v>301120000</v>
      </c>
      <c r="O292" s="15" t="str">
        <f>IF(AND(A292='BANG KE NL'!$M$11,TH!C292="NL",LEFT(D292,1)="N"),"x","")</f>
        <v/>
      </c>
    </row>
    <row r="293" spans="1:15" hidden="1">
      <c r="A293" s="24">
        <f t="shared" ref="A293:A317" si="27">IF(E293&lt;&gt;"",MONTH(E293),"")</f>
        <v>9</v>
      </c>
      <c r="B293" s="176" t="str">
        <f>IF(AND(MONTH(E293)='IN-NX'!$J$5,'IN-NX'!$D$7=(D293&amp;"/"&amp;C293)),"x","")</f>
        <v/>
      </c>
      <c r="C293" s="173" t="s">
        <v>226</v>
      </c>
      <c r="D293" s="173" t="s">
        <v>214</v>
      </c>
      <c r="E293" s="70">
        <v>42250</v>
      </c>
      <c r="F293" s="62" t="s">
        <v>55</v>
      </c>
      <c r="G293" s="19" t="s">
        <v>204</v>
      </c>
      <c r="H293" s="200" t="s">
        <v>231</v>
      </c>
      <c r="I293" s="57" t="s">
        <v>124</v>
      </c>
      <c r="J293" s="15">
        <v>15900</v>
      </c>
      <c r="K293" s="15">
        <v>6980</v>
      </c>
      <c r="L293" s="15">
        <f t="shared" ref="L293:L317" si="28">ROUND(J293*K293,0)</f>
        <v>110982000</v>
      </c>
      <c r="M293" s="15"/>
      <c r="N293" s="15">
        <f t="shared" ref="N293:N317" si="29">ROUND(J293*M293,0)</f>
        <v>0</v>
      </c>
      <c r="O293" s="15" t="str">
        <f>IF(AND(A293='BANG KE NL'!$M$11,TH!C293="NL",LEFT(D293,1)="N"),"x","")</f>
        <v/>
      </c>
    </row>
    <row r="294" spans="1:15" hidden="1">
      <c r="A294" s="24">
        <f t="shared" si="27"/>
        <v>9</v>
      </c>
      <c r="B294" s="176" t="str">
        <f>IF(AND(MONTH(E294)='IN-NX'!$J$5,'IN-NX'!$D$7=(D294&amp;"/"&amp;C294)),"x","")</f>
        <v/>
      </c>
      <c r="C294" s="173" t="s">
        <v>226</v>
      </c>
      <c r="D294" s="173" t="s">
        <v>215</v>
      </c>
      <c r="E294" s="70">
        <v>42250</v>
      </c>
      <c r="F294" s="62" t="s">
        <v>55</v>
      </c>
      <c r="G294" s="19" t="s">
        <v>205</v>
      </c>
      <c r="H294" s="200" t="s">
        <v>231</v>
      </c>
      <c r="I294" s="57" t="s">
        <v>124</v>
      </c>
      <c r="J294" s="15">
        <v>15900</v>
      </c>
      <c r="K294" s="15">
        <v>6890</v>
      </c>
      <c r="L294" s="15">
        <f t="shared" si="28"/>
        <v>109551000</v>
      </c>
      <c r="M294" s="15"/>
      <c r="N294" s="15">
        <f t="shared" si="29"/>
        <v>0</v>
      </c>
      <c r="O294" s="15" t="str">
        <f>IF(AND(A294='BANG KE NL'!$M$11,TH!C294="NL",LEFT(D294,1)="N"),"x","")</f>
        <v/>
      </c>
    </row>
    <row r="295" spans="1:15" hidden="1">
      <c r="A295" s="24">
        <f t="shared" si="27"/>
        <v>9</v>
      </c>
      <c r="B295" s="176" t="str">
        <f>IF(AND(MONTH(E295)='IN-NX'!$J$5,'IN-NX'!$D$7=(D295&amp;"/"&amp;C295)),"x","")</f>
        <v/>
      </c>
      <c r="C295" s="173" t="s">
        <v>226</v>
      </c>
      <c r="D295" s="173" t="s">
        <v>216</v>
      </c>
      <c r="E295" s="70">
        <v>42250</v>
      </c>
      <c r="F295" s="62" t="s">
        <v>55</v>
      </c>
      <c r="G295" s="19" t="s">
        <v>206</v>
      </c>
      <c r="H295" s="200" t="s">
        <v>231</v>
      </c>
      <c r="I295" s="57" t="s">
        <v>124</v>
      </c>
      <c r="J295" s="15">
        <v>15900</v>
      </c>
      <c r="K295" s="15">
        <v>6834</v>
      </c>
      <c r="L295" s="15">
        <f t="shared" si="28"/>
        <v>108660600</v>
      </c>
      <c r="M295" s="15"/>
      <c r="N295" s="15">
        <f t="shared" si="29"/>
        <v>0</v>
      </c>
      <c r="O295" s="15" t="str">
        <f>IF(AND(A295='BANG KE NL'!$M$11,TH!C295="NL",LEFT(D295,1)="N"),"x","")</f>
        <v/>
      </c>
    </row>
    <row r="296" spans="1:15" hidden="1">
      <c r="A296" s="24">
        <f t="shared" si="27"/>
        <v>9</v>
      </c>
      <c r="B296" s="176" t="str">
        <f>IF(AND(MONTH(E296)='IN-NX'!$J$5,'IN-NX'!$D$7=(D296&amp;"/"&amp;C296)),"x","")</f>
        <v/>
      </c>
      <c r="C296" s="173" t="s">
        <v>226</v>
      </c>
      <c r="D296" s="173" t="s">
        <v>217</v>
      </c>
      <c r="E296" s="70">
        <v>42256</v>
      </c>
      <c r="F296" s="62" t="s">
        <v>55</v>
      </c>
      <c r="G296" s="19" t="s">
        <v>208</v>
      </c>
      <c r="H296" s="200" t="s">
        <v>231</v>
      </c>
      <c r="I296" s="57" t="s">
        <v>124</v>
      </c>
      <c r="J296" s="15">
        <v>15900</v>
      </c>
      <c r="K296" s="15">
        <v>7590</v>
      </c>
      <c r="L296" s="15">
        <f t="shared" si="28"/>
        <v>120681000</v>
      </c>
      <c r="M296" s="15"/>
      <c r="N296" s="15">
        <f t="shared" si="29"/>
        <v>0</v>
      </c>
      <c r="O296" s="15" t="str">
        <f>IF(AND(A296='BANG KE NL'!$M$11,TH!C296="NL",LEFT(D296,1)="N"),"x","")</f>
        <v/>
      </c>
    </row>
    <row r="297" spans="1:15" hidden="1">
      <c r="A297" s="24">
        <f t="shared" si="27"/>
        <v>9</v>
      </c>
      <c r="B297" s="176" t="str">
        <f>IF(AND(MONTH(E297)='IN-NX'!$J$5,'IN-NX'!$D$7=(D297&amp;"/"&amp;C297)),"x","")</f>
        <v/>
      </c>
      <c r="C297" s="173" t="s">
        <v>226</v>
      </c>
      <c r="D297" s="173" t="s">
        <v>218</v>
      </c>
      <c r="E297" s="70">
        <v>42256</v>
      </c>
      <c r="F297" s="62" t="s">
        <v>55</v>
      </c>
      <c r="G297" s="19" t="s">
        <v>207</v>
      </c>
      <c r="H297" s="200" t="s">
        <v>231</v>
      </c>
      <c r="I297" s="57" t="s">
        <v>124</v>
      </c>
      <c r="J297" s="15">
        <v>15900</v>
      </c>
      <c r="K297" s="15">
        <v>6930</v>
      </c>
      <c r="L297" s="15">
        <f t="shared" si="28"/>
        <v>110187000</v>
      </c>
      <c r="M297" s="15"/>
      <c r="N297" s="15">
        <f t="shared" si="29"/>
        <v>0</v>
      </c>
      <c r="O297" s="15" t="str">
        <f>IF(AND(A297='BANG KE NL'!$M$11,TH!C297="NL",LEFT(D297,1)="N"),"x","")</f>
        <v/>
      </c>
    </row>
    <row r="298" spans="1:15" hidden="1">
      <c r="A298" s="24">
        <f t="shared" si="27"/>
        <v>9</v>
      </c>
      <c r="B298" s="176" t="str">
        <f>IF(AND(MONTH(E298)='IN-NX'!$J$5,'IN-NX'!$D$7=(D298&amp;"/"&amp;C298)),"x","")</f>
        <v/>
      </c>
      <c r="C298" s="173" t="s">
        <v>226</v>
      </c>
      <c r="D298" s="173" t="s">
        <v>219</v>
      </c>
      <c r="E298" s="70">
        <v>42256</v>
      </c>
      <c r="F298" s="62" t="s">
        <v>55</v>
      </c>
      <c r="G298" s="19" t="s">
        <v>202</v>
      </c>
      <c r="H298" s="200" t="s">
        <v>231</v>
      </c>
      <c r="I298" s="57" t="s">
        <v>124</v>
      </c>
      <c r="J298" s="15">
        <v>15900</v>
      </c>
      <c r="K298" s="15">
        <v>7676</v>
      </c>
      <c r="L298" s="15">
        <f t="shared" si="28"/>
        <v>122048400</v>
      </c>
      <c r="M298" s="15"/>
      <c r="N298" s="15">
        <f t="shared" si="29"/>
        <v>0</v>
      </c>
      <c r="O298" s="15" t="str">
        <f>IF(AND(A298='BANG KE NL'!$M$11,TH!C298="NL",LEFT(D298,1)="N"),"x","")</f>
        <v/>
      </c>
    </row>
    <row r="299" spans="1:15" hidden="1">
      <c r="A299" s="24">
        <f t="shared" si="27"/>
        <v>9</v>
      </c>
      <c r="B299" s="176" t="str">
        <f>IF(AND(MONTH(E299)='IN-NX'!$J$5,'IN-NX'!$D$7=(D299&amp;"/"&amp;C299)),"x","")</f>
        <v/>
      </c>
      <c r="C299" s="173" t="s">
        <v>226</v>
      </c>
      <c r="D299" s="173" t="s">
        <v>232</v>
      </c>
      <c r="E299" s="70">
        <v>42263</v>
      </c>
      <c r="F299" s="62" t="s">
        <v>55</v>
      </c>
      <c r="G299" s="19" t="s">
        <v>210</v>
      </c>
      <c r="H299" s="200" t="s">
        <v>231</v>
      </c>
      <c r="I299" s="484" t="s">
        <v>124</v>
      </c>
      <c r="J299" s="15">
        <v>11800</v>
      </c>
      <c r="K299" s="15">
        <v>6983</v>
      </c>
      <c r="L299" s="15">
        <f t="shared" si="28"/>
        <v>82399400</v>
      </c>
      <c r="M299" s="15"/>
      <c r="N299" s="15">
        <f t="shared" si="29"/>
        <v>0</v>
      </c>
      <c r="O299" s="15" t="str">
        <f>IF(AND(A299='BANG KE NL'!$M$11,TH!C301="NL",LEFT(D299,1)="N"),"x","")</f>
        <v/>
      </c>
    </row>
    <row r="300" spans="1:15" hidden="1">
      <c r="A300" s="24">
        <f t="shared" si="27"/>
        <v>9</v>
      </c>
      <c r="B300" s="176" t="str">
        <f>IF(AND(MONTH(E300)='IN-NX'!$J$5,'IN-NX'!$D$7=(D300&amp;"/"&amp;C300)),"x","")</f>
        <v/>
      </c>
      <c r="C300" s="173" t="s">
        <v>226</v>
      </c>
      <c r="D300" s="173" t="s">
        <v>234</v>
      </c>
      <c r="E300" s="70">
        <v>42263</v>
      </c>
      <c r="F300" s="62" t="s">
        <v>55</v>
      </c>
      <c r="G300" s="19" t="s">
        <v>205</v>
      </c>
      <c r="H300" s="200" t="s">
        <v>231</v>
      </c>
      <c r="I300" s="484" t="s">
        <v>124</v>
      </c>
      <c r="J300" s="15">
        <v>11800</v>
      </c>
      <c r="K300" s="15">
        <v>6970</v>
      </c>
      <c r="L300" s="15">
        <f t="shared" si="28"/>
        <v>82246000</v>
      </c>
      <c r="M300" s="15"/>
      <c r="N300" s="15">
        <f t="shared" si="29"/>
        <v>0</v>
      </c>
      <c r="O300" s="15" t="str">
        <f>IF(AND(A300='BANG KE NL'!$M$11,TH!C302="NL",LEFT(D300,1)="N"),"x","")</f>
        <v/>
      </c>
    </row>
    <row r="301" spans="1:15" hidden="1">
      <c r="A301" s="24">
        <f t="shared" si="27"/>
        <v>9</v>
      </c>
      <c r="B301" s="176" t="str">
        <f>IF(AND(MONTH(E301)='IN-NX'!$J$5,'IN-NX'!$D$7=(D301&amp;"/"&amp;C301)),"x","")</f>
        <v/>
      </c>
      <c r="C301" s="173" t="s">
        <v>226</v>
      </c>
      <c r="D301" s="173" t="s">
        <v>235</v>
      </c>
      <c r="E301" s="70">
        <v>42263</v>
      </c>
      <c r="F301" s="62" t="s">
        <v>55</v>
      </c>
      <c r="G301" s="19" t="s">
        <v>206</v>
      </c>
      <c r="H301" s="200" t="s">
        <v>231</v>
      </c>
      <c r="I301" s="57" t="s">
        <v>124</v>
      </c>
      <c r="J301" s="15">
        <v>11800</v>
      </c>
      <c r="K301" s="15">
        <v>7016</v>
      </c>
      <c r="L301" s="15">
        <f t="shared" si="28"/>
        <v>82788800</v>
      </c>
      <c r="M301" s="15"/>
      <c r="N301" s="15">
        <f t="shared" si="29"/>
        <v>0</v>
      </c>
      <c r="O301" s="15" t="str">
        <f>IF(AND(A301='BANG KE NL'!$M$11,TH!C303="NL",LEFT(D301,1)="N"),"x","")</f>
        <v/>
      </c>
    </row>
    <row r="302" spans="1:15" hidden="1">
      <c r="A302" s="24">
        <f t="shared" si="27"/>
        <v>9</v>
      </c>
      <c r="B302" s="176" t="str">
        <f>IF(AND(MONTH(E302)='IN-NX'!$J$5,'IN-NX'!$D$7=(D302&amp;"/"&amp;C302)),"x","")</f>
        <v/>
      </c>
      <c r="C302" s="173" t="s">
        <v>226</v>
      </c>
      <c r="D302" s="173" t="s">
        <v>236</v>
      </c>
      <c r="E302" s="70">
        <v>42263</v>
      </c>
      <c r="F302" s="62" t="s">
        <v>55</v>
      </c>
      <c r="G302" s="19" t="s">
        <v>204</v>
      </c>
      <c r="H302" s="200" t="s">
        <v>231</v>
      </c>
      <c r="I302" s="57" t="s">
        <v>124</v>
      </c>
      <c r="J302" s="15">
        <v>11800</v>
      </c>
      <c r="K302" s="15">
        <v>7139</v>
      </c>
      <c r="L302" s="15">
        <f t="shared" si="28"/>
        <v>84240200</v>
      </c>
      <c r="M302" s="15"/>
      <c r="N302" s="15">
        <f t="shared" si="29"/>
        <v>0</v>
      </c>
      <c r="O302" s="15" t="str">
        <f>IF(AND(A302='BANG KE NL'!$M$11,TH!C304="NL",LEFT(D302,1)="N"),"x","")</f>
        <v/>
      </c>
    </row>
    <row r="303" spans="1:15" hidden="1">
      <c r="A303" s="24">
        <f t="shared" si="27"/>
        <v>9</v>
      </c>
      <c r="B303" s="176" t="str">
        <f>IF(AND(MONTH(E303)='IN-NX'!$J$5,'IN-NX'!$D$7=(D303&amp;"/"&amp;C303)),"x","")</f>
        <v/>
      </c>
      <c r="C303" s="173" t="s">
        <v>226</v>
      </c>
      <c r="D303" s="173" t="s">
        <v>237</v>
      </c>
      <c r="E303" s="70">
        <v>42267</v>
      </c>
      <c r="F303" s="62" t="s">
        <v>55</v>
      </c>
      <c r="G303" s="19" t="s">
        <v>204</v>
      </c>
      <c r="H303" s="200" t="s">
        <v>231</v>
      </c>
      <c r="I303" s="57" t="s">
        <v>124</v>
      </c>
      <c r="J303" s="15">
        <v>11800</v>
      </c>
      <c r="K303" s="15">
        <v>6830</v>
      </c>
      <c r="L303" s="15">
        <f t="shared" si="28"/>
        <v>80594000</v>
      </c>
      <c r="M303" s="15"/>
      <c r="N303" s="15">
        <f t="shared" si="29"/>
        <v>0</v>
      </c>
      <c r="O303" s="15" t="str">
        <f>IF(AND(A303='BANG KE NL'!$M$11,TH!C305="NL",LEFT(D303,1)="N"),"x","")</f>
        <v/>
      </c>
    </row>
    <row r="304" spans="1:15" hidden="1">
      <c r="A304" s="24">
        <f t="shared" si="27"/>
        <v>9</v>
      </c>
      <c r="B304" s="176" t="str">
        <f>IF(AND(MONTH(E304)='IN-NX'!$J$5,'IN-NX'!$D$7=(D304&amp;"/"&amp;C304)),"x","")</f>
        <v/>
      </c>
      <c r="C304" s="173" t="s">
        <v>226</v>
      </c>
      <c r="D304" s="173" t="s">
        <v>238</v>
      </c>
      <c r="E304" s="70">
        <v>42267</v>
      </c>
      <c r="F304" s="62" t="s">
        <v>55</v>
      </c>
      <c r="G304" s="19" t="s">
        <v>205</v>
      </c>
      <c r="H304" s="200" t="s">
        <v>231</v>
      </c>
      <c r="I304" s="57" t="s">
        <v>124</v>
      </c>
      <c r="J304" s="15">
        <v>11800</v>
      </c>
      <c r="K304" s="15">
        <v>6579</v>
      </c>
      <c r="L304" s="15">
        <f t="shared" si="28"/>
        <v>77632200</v>
      </c>
      <c r="M304" s="15"/>
      <c r="N304" s="15">
        <f t="shared" si="29"/>
        <v>0</v>
      </c>
      <c r="O304" s="15" t="str">
        <f>IF(AND(A304='BANG KE NL'!$M$11,TH!C306="NL",LEFT(D304,1)="N"),"x","")</f>
        <v/>
      </c>
    </row>
    <row r="305" spans="1:15" hidden="1">
      <c r="A305" s="24">
        <f t="shared" si="27"/>
        <v>9</v>
      </c>
      <c r="B305" s="176" t="str">
        <f>IF(AND(MONTH(E305)='IN-NX'!$J$5,'IN-NX'!$D$7=(D305&amp;"/"&amp;C305)),"x","")</f>
        <v/>
      </c>
      <c r="C305" s="173" t="s">
        <v>226</v>
      </c>
      <c r="D305" s="173" t="s">
        <v>239</v>
      </c>
      <c r="E305" s="70">
        <v>42267</v>
      </c>
      <c r="F305" s="62" t="s">
        <v>55</v>
      </c>
      <c r="G305" s="19" t="s">
        <v>206</v>
      </c>
      <c r="H305" s="200" t="s">
        <v>231</v>
      </c>
      <c r="I305" s="57" t="s">
        <v>124</v>
      </c>
      <c r="J305" s="15">
        <v>11800</v>
      </c>
      <c r="K305" s="15">
        <v>6940</v>
      </c>
      <c r="L305" s="15">
        <f t="shared" si="28"/>
        <v>81892000</v>
      </c>
      <c r="M305" s="15"/>
      <c r="N305" s="15">
        <f t="shared" si="29"/>
        <v>0</v>
      </c>
      <c r="O305" s="15" t="str">
        <f>IF(AND(A305='BANG KE NL'!$M$11,TH!C307="NL",LEFT(D305,1)="N"),"x","")</f>
        <v/>
      </c>
    </row>
    <row r="306" spans="1:15" hidden="1">
      <c r="A306" s="24">
        <f t="shared" si="27"/>
        <v>9</v>
      </c>
      <c r="B306" s="176" t="str">
        <f>IF(AND(MONTH(E306)='IN-NX'!$J$5,'IN-NX'!$D$7=(D306&amp;"/"&amp;C306)),"x","")</f>
        <v/>
      </c>
      <c r="C306" s="173" t="s">
        <v>226</v>
      </c>
      <c r="D306" s="173" t="s">
        <v>240</v>
      </c>
      <c r="E306" s="70">
        <v>42267</v>
      </c>
      <c r="F306" s="62" t="s">
        <v>55</v>
      </c>
      <c r="G306" s="19" t="s">
        <v>207</v>
      </c>
      <c r="H306" s="200" t="s">
        <v>231</v>
      </c>
      <c r="I306" s="57" t="s">
        <v>124</v>
      </c>
      <c r="J306" s="15">
        <v>11800</v>
      </c>
      <c r="K306" s="15">
        <v>6730</v>
      </c>
      <c r="L306" s="15">
        <f t="shared" si="28"/>
        <v>79414000</v>
      </c>
      <c r="M306" s="15"/>
      <c r="N306" s="15">
        <f t="shared" si="29"/>
        <v>0</v>
      </c>
      <c r="O306" s="15" t="str">
        <f>IF(AND(A306='BANG KE NL'!$M$11,TH!C308="NL",LEFT(D306,1)="N"),"x","")</f>
        <v/>
      </c>
    </row>
    <row r="307" spans="1:15" hidden="1">
      <c r="A307" s="24">
        <f t="shared" si="27"/>
        <v>9</v>
      </c>
      <c r="B307" s="176" t="str">
        <f>IF(AND(MONTH(E307)='IN-NX'!$J$5,'IN-NX'!$D$7=(D307&amp;"/"&amp;C307)),"x","")</f>
        <v/>
      </c>
      <c r="C307" s="173" t="s">
        <v>226</v>
      </c>
      <c r="D307" s="173" t="s">
        <v>241</v>
      </c>
      <c r="E307" s="70">
        <v>42270</v>
      </c>
      <c r="F307" s="62" t="s">
        <v>55</v>
      </c>
      <c r="G307" s="19" t="s">
        <v>202</v>
      </c>
      <c r="H307" s="200" t="s">
        <v>231</v>
      </c>
      <c r="I307" s="57" t="s">
        <v>124</v>
      </c>
      <c r="J307" s="15">
        <v>11800</v>
      </c>
      <c r="K307" s="15">
        <v>6930</v>
      </c>
      <c r="L307" s="15">
        <f t="shared" si="28"/>
        <v>81774000</v>
      </c>
      <c r="M307" s="15"/>
      <c r="N307" s="15">
        <f t="shared" si="29"/>
        <v>0</v>
      </c>
      <c r="O307" s="15" t="str">
        <f>IF(AND(A307='BANG KE NL'!$M$11,TH!C309="NL",LEFT(D307,1)="N"),"x","")</f>
        <v/>
      </c>
    </row>
    <row r="308" spans="1:15" hidden="1">
      <c r="A308" s="24">
        <f t="shared" si="27"/>
        <v>9</v>
      </c>
      <c r="B308" s="176" t="str">
        <f>IF(AND(MONTH(E308)='IN-NX'!$J$5,'IN-NX'!$D$7=(D308&amp;"/"&amp;C308)),"x","")</f>
        <v/>
      </c>
      <c r="C308" s="173" t="s">
        <v>226</v>
      </c>
      <c r="D308" s="173" t="s">
        <v>242</v>
      </c>
      <c r="E308" s="70">
        <v>42270</v>
      </c>
      <c r="F308" s="62" t="s">
        <v>55</v>
      </c>
      <c r="G308" s="19" t="s">
        <v>210</v>
      </c>
      <c r="H308" s="200" t="s">
        <v>231</v>
      </c>
      <c r="I308" s="57" t="s">
        <v>124</v>
      </c>
      <c r="J308" s="15">
        <v>11800</v>
      </c>
      <c r="K308" s="15">
        <v>7510</v>
      </c>
      <c r="L308" s="15">
        <f t="shared" si="28"/>
        <v>88618000</v>
      </c>
      <c r="M308" s="15"/>
      <c r="N308" s="15">
        <f t="shared" si="29"/>
        <v>0</v>
      </c>
      <c r="O308" s="15" t="str">
        <f>IF(AND(A308='BANG KE NL'!$M$11,TH!C310="NL",LEFT(D308,1)="N"),"x","")</f>
        <v/>
      </c>
    </row>
    <row r="309" spans="1:15" hidden="1">
      <c r="A309" s="24">
        <f t="shared" si="27"/>
        <v>9</v>
      </c>
      <c r="B309" s="176" t="str">
        <f>IF(AND(MONTH(E309)='IN-NX'!$J$5,'IN-NX'!$D$7=(D309&amp;"/"&amp;C309)),"x","")</f>
        <v/>
      </c>
      <c r="C309" s="173" t="s">
        <v>226</v>
      </c>
      <c r="D309" s="173" t="s">
        <v>243</v>
      </c>
      <c r="E309" s="70">
        <v>42270</v>
      </c>
      <c r="F309" s="62" t="s">
        <v>55</v>
      </c>
      <c r="G309" s="19" t="s">
        <v>204</v>
      </c>
      <c r="H309" s="200" t="s">
        <v>231</v>
      </c>
      <c r="I309" s="57" t="s">
        <v>124</v>
      </c>
      <c r="J309" s="15">
        <v>11800</v>
      </c>
      <c r="K309" s="15">
        <v>6430</v>
      </c>
      <c r="L309" s="15">
        <f t="shared" si="28"/>
        <v>75874000</v>
      </c>
      <c r="M309" s="15"/>
      <c r="N309" s="15">
        <f t="shared" si="29"/>
        <v>0</v>
      </c>
      <c r="O309" s="15" t="str">
        <f>IF(AND(A309='BANG KE NL'!$M$11,TH!C311="NL",LEFT(D309,1)="N"),"x","")</f>
        <v/>
      </c>
    </row>
    <row r="310" spans="1:15" hidden="1">
      <c r="A310" s="24">
        <f t="shared" si="27"/>
        <v>9</v>
      </c>
      <c r="B310" s="176" t="str">
        <f>IF(AND(MONTH(E310)='IN-NX'!$J$5,'IN-NX'!$D$7=(D310&amp;"/"&amp;C310)),"x","")</f>
        <v/>
      </c>
      <c r="C310" s="173" t="s">
        <v>226</v>
      </c>
      <c r="D310" s="173" t="s">
        <v>244</v>
      </c>
      <c r="E310" s="70">
        <v>42272</v>
      </c>
      <c r="F310" s="62" t="s">
        <v>55</v>
      </c>
      <c r="G310" s="19" t="s">
        <v>204</v>
      </c>
      <c r="H310" s="200" t="s">
        <v>231</v>
      </c>
      <c r="I310" s="57" t="s">
        <v>124</v>
      </c>
      <c r="J310" s="15">
        <v>11800</v>
      </c>
      <c r="K310" s="15">
        <v>6530</v>
      </c>
      <c r="L310" s="15">
        <f t="shared" si="28"/>
        <v>77054000</v>
      </c>
      <c r="M310" s="15"/>
      <c r="N310" s="15">
        <f t="shared" si="29"/>
        <v>0</v>
      </c>
      <c r="O310" s="15" t="str">
        <f>IF(AND(A310='BANG KE NL'!$M$11,TH!C312="NL",LEFT(D310,1)="N"),"x","")</f>
        <v/>
      </c>
    </row>
    <row r="311" spans="1:15" hidden="1">
      <c r="A311" s="24">
        <f t="shared" si="27"/>
        <v>9</v>
      </c>
      <c r="B311" s="176" t="str">
        <f>IF(AND(MONTH(E311)='IN-NX'!$J$5,'IN-NX'!$D$7=(D311&amp;"/"&amp;C311)),"x","")</f>
        <v/>
      </c>
      <c r="C311" s="173" t="s">
        <v>226</v>
      </c>
      <c r="D311" s="173" t="s">
        <v>245</v>
      </c>
      <c r="E311" s="70">
        <v>42272</v>
      </c>
      <c r="F311" s="62" t="s">
        <v>55</v>
      </c>
      <c r="G311" s="19" t="s">
        <v>205</v>
      </c>
      <c r="H311" s="200" t="s">
        <v>231</v>
      </c>
      <c r="I311" s="57" t="s">
        <v>124</v>
      </c>
      <c r="J311" s="15">
        <v>11800</v>
      </c>
      <c r="K311" s="15">
        <v>6513</v>
      </c>
      <c r="L311" s="15">
        <f t="shared" si="28"/>
        <v>76853400</v>
      </c>
      <c r="M311" s="15"/>
      <c r="N311" s="15">
        <f t="shared" si="29"/>
        <v>0</v>
      </c>
      <c r="O311" s="15" t="str">
        <f>IF(AND(A311='BANG KE NL'!$M$11,TH!C313="NL",LEFT(D311,1)="N"),"x","")</f>
        <v/>
      </c>
    </row>
    <row r="312" spans="1:15" hidden="1">
      <c r="A312" s="24">
        <f t="shared" si="27"/>
        <v>9</v>
      </c>
      <c r="B312" s="176" t="str">
        <f>IF(AND(MONTH(E312)='IN-NX'!$J$5,'IN-NX'!$D$7=(D312&amp;"/"&amp;C312)),"x","")</f>
        <v/>
      </c>
      <c r="C312" s="173" t="s">
        <v>226</v>
      </c>
      <c r="D312" s="173" t="s">
        <v>220</v>
      </c>
      <c r="E312" s="70">
        <v>42250</v>
      </c>
      <c r="F312" s="62" t="s">
        <v>55</v>
      </c>
      <c r="G312" s="19" t="s">
        <v>229</v>
      </c>
      <c r="H312" s="200" t="s">
        <v>97</v>
      </c>
      <c r="I312" s="177" t="s">
        <v>231</v>
      </c>
      <c r="J312" s="15">
        <v>15900</v>
      </c>
      <c r="K312" s="15"/>
      <c r="L312" s="15">
        <f t="shared" si="28"/>
        <v>0</v>
      </c>
      <c r="M312" s="15">
        <v>20704</v>
      </c>
      <c r="N312" s="15">
        <f t="shared" si="29"/>
        <v>329193600</v>
      </c>
      <c r="O312" s="15" t="str">
        <f>IF(AND(A312='BANG KE NL'!$M$11,TH!C299="NL",LEFT(D312,1)="N"),"x","")</f>
        <v/>
      </c>
    </row>
    <row r="313" spans="1:15" hidden="1">
      <c r="A313" s="24">
        <f t="shared" si="27"/>
        <v>9</v>
      </c>
      <c r="B313" s="176" t="str">
        <f>IF(AND(MONTH(E313)='IN-NX'!$J$5,'IN-NX'!$D$7=(D313&amp;"/"&amp;C313)),"x","")</f>
        <v/>
      </c>
      <c r="C313" s="173" t="s">
        <v>226</v>
      </c>
      <c r="D313" s="173" t="s">
        <v>221</v>
      </c>
      <c r="E313" s="70">
        <v>42256</v>
      </c>
      <c r="F313" s="62" t="s">
        <v>55</v>
      </c>
      <c r="G313" s="19" t="s">
        <v>229</v>
      </c>
      <c r="H313" s="200" t="s">
        <v>97</v>
      </c>
      <c r="I313" s="177" t="s">
        <v>231</v>
      </c>
      <c r="J313" s="15">
        <v>15900</v>
      </c>
      <c r="K313" s="15"/>
      <c r="L313" s="15">
        <f t="shared" si="28"/>
        <v>0</v>
      </c>
      <c r="M313" s="15">
        <v>22196</v>
      </c>
      <c r="N313" s="15">
        <f t="shared" si="29"/>
        <v>352916400</v>
      </c>
      <c r="O313" s="15" t="str">
        <f>IF(AND(A313='BANG KE NL'!$M$11,TH!C300="NL",LEFT(D313,1)="N"),"x","")</f>
        <v/>
      </c>
    </row>
    <row r="314" spans="1:15" hidden="1">
      <c r="A314" s="24">
        <f t="shared" si="27"/>
        <v>9</v>
      </c>
      <c r="B314" s="176" t="str">
        <f>IF(AND(MONTH(E314)='IN-NX'!$J$5,'IN-NX'!$D$7=(D314&amp;"/"&amp;C314)),"x","")</f>
        <v/>
      </c>
      <c r="C314" s="173" t="s">
        <v>226</v>
      </c>
      <c r="D314" s="173" t="s">
        <v>222</v>
      </c>
      <c r="E314" s="70">
        <v>42263</v>
      </c>
      <c r="F314" s="62" t="s">
        <v>55</v>
      </c>
      <c r="G314" s="19" t="s">
        <v>229</v>
      </c>
      <c r="H314" s="200" t="s">
        <v>97</v>
      </c>
      <c r="I314" s="200" t="s">
        <v>231</v>
      </c>
      <c r="J314" s="15">
        <v>11800</v>
      </c>
      <c r="K314" s="15"/>
      <c r="L314" s="15">
        <f t="shared" si="28"/>
        <v>0</v>
      </c>
      <c r="M314" s="15">
        <v>28108</v>
      </c>
      <c r="N314" s="15">
        <f t="shared" si="29"/>
        <v>331674400</v>
      </c>
      <c r="O314" s="15" t="str">
        <f>IF(AND(A314='BANG KE NL'!$M$11,TH!C314="NL",LEFT(D314,1)="N"),"x","")</f>
        <v/>
      </c>
    </row>
    <row r="315" spans="1:15" hidden="1">
      <c r="A315" s="24">
        <f t="shared" si="27"/>
        <v>9</v>
      </c>
      <c r="B315" s="176" t="str">
        <f>IF(AND(MONTH(E315)='IN-NX'!$J$5,'IN-NX'!$D$7=(D315&amp;"/"&amp;C315)),"x","")</f>
        <v/>
      </c>
      <c r="C315" s="173" t="s">
        <v>226</v>
      </c>
      <c r="D315" s="173" t="s">
        <v>223</v>
      </c>
      <c r="E315" s="70">
        <v>42267</v>
      </c>
      <c r="F315" s="62" t="s">
        <v>55</v>
      </c>
      <c r="G315" s="19" t="s">
        <v>229</v>
      </c>
      <c r="H315" s="200" t="s">
        <v>97</v>
      </c>
      <c r="I315" s="200" t="s">
        <v>231</v>
      </c>
      <c r="J315" s="15">
        <v>11800</v>
      </c>
      <c r="K315" s="15"/>
      <c r="L315" s="15">
        <f t="shared" si="28"/>
        <v>0</v>
      </c>
      <c r="M315" s="15">
        <v>27079</v>
      </c>
      <c r="N315" s="15">
        <f t="shared" si="29"/>
        <v>319532200</v>
      </c>
      <c r="O315" s="15" t="str">
        <f>IF(AND(A315='BANG KE NL'!$M$11,TH!C315="NL",LEFT(D315,1)="N"),"x","")</f>
        <v/>
      </c>
    </row>
    <row r="316" spans="1:15" hidden="1">
      <c r="A316" s="24">
        <f t="shared" si="27"/>
        <v>9</v>
      </c>
      <c r="B316" s="176" t="str">
        <f>IF(AND(MONTH(E316)='IN-NX'!$J$5,'IN-NX'!$D$7=(D316&amp;"/"&amp;C316)),"x","")</f>
        <v/>
      </c>
      <c r="C316" s="173" t="s">
        <v>226</v>
      </c>
      <c r="D316" s="173" t="s">
        <v>230</v>
      </c>
      <c r="E316" s="70">
        <v>42270</v>
      </c>
      <c r="F316" s="62" t="s">
        <v>55</v>
      </c>
      <c r="G316" s="19" t="s">
        <v>229</v>
      </c>
      <c r="H316" s="200" t="s">
        <v>97</v>
      </c>
      <c r="I316" s="200" t="s">
        <v>231</v>
      </c>
      <c r="J316" s="15">
        <v>11800</v>
      </c>
      <c r="K316" s="15"/>
      <c r="L316" s="15">
        <f t="shared" si="28"/>
        <v>0</v>
      </c>
      <c r="M316" s="15">
        <v>20870</v>
      </c>
      <c r="N316" s="15">
        <f t="shared" si="29"/>
        <v>246266000</v>
      </c>
      <c r="O316" s="15" t="str">
        <f>IF(AND(A316='BANG KE NL'!$M$11,TH!C316="NL",LEFT(D316,1)="N"),"x","")</f>
        <v/>
      </c>
    </row>
    <row r="317" spans="1:15" hidden="1">
      <c r="A317" s="24">
        <f t="shared" si="27"/>
        <v>9</v>
      </c>
      <c r="B317" s="176" t="str">
        <f>IF(AND(MONTH(E317)='IN-NX'!$J$5,'IN-NX'!$D$7=(D317&amp;"/"&amp;C317)),"x","")</f>
        <v/>
      </c>
      <c r="C317" s="173" t="s">
        <v>226</v>
      </c>
      <c r="D317" s="173" t="s">
        <v>268</v>
      </c>
      <c r="E317" s="70">
        <v>42272</v>
      </c>
      <c r="F317" s="62" t="s">
        <v>55</v>
      </c>
      <c r="G317" s="19" t="s">
        <v>229</v>
      </c>
      <c r="H317" s="200" t="s">
        <v>97</v>
      </c>
      <c r="I317" s="200" t="s">
        <v>231</v>
      </c>
      <c r="J317" s="15">
        <v>11800</v>
      </c>
      <c r="K317" s="15"/>
      <c r="L317" s="15">
        <f t="shared" si="28"/>
        <v>0</v>
      </c>
      <c r="M317" s="15">
        <v>13043</v>
      </c>
      <c r="N317" s="15">
        <f t="shared" si="29"/>
        <v>153907400</v>
      </c>
      <c r="O317" s="15" t="str">
        <f>IF(AND(A317='BANG KE NL'!$M$11,TH!C317="NL",LEFT(D317,1)="N"),"x","")</f>
        <v/>
      </c>
    </row>
    <row r="318" spans="1:15" hidden="1">
      <c r="A318" s="24">
        <f t="shared" ref="A318:A347" si="30">IF(E318&lt;&gt;"",MONTH(E318),"")</f>
        <v>10</v>
      </c>
      <c r="B318" s="176" t="str">
        <f>IF(AND(MONTH(E318)='IN-NX'!$J$5,'IN-NX'!$D$7=(D318&amp;"/"&amp;C318)),"x","")</f>
        <v/>
      </c>
      <c r="C318" s="173" t="s">
        <v>226</v>
      </c>
      <c r="D318" s="173" t="s">
        <v>214</v>
      </c>
      <c r="E318" s="70">
        <v>42282</v>
      </c>
      <c r="F318" s="62" t="s">
        <v>55</v>
      </c>
      <c r="G318" s="19" t="s">
        <v>204</v>
      </c>
      <c r="H318" s="200" t="s">
        <v>231</v>
      </c>
      <c r="I318" s="57" t="s">
        <v>124</v>
      </c>
      <c r="J318" s="15">
        <v>13500</v>
      </c>
      <c r="K318" s="15">
        <v>7019</v>
      </c>
      <c r="L318" s="15">
        <f t="shared" ref="L318:L323" si="31">ROUND(J318*K318,0)</f>
        <v>94756500</v>
      </c>
      <c r="M318" s="15"/>
      <c r="N318" s="15">
        <f t="shared" ref="N318:N323" si="32">ROUND(J318*M318,0)</f>
        <v>0</v>
      </c>
      <c r="O318" s="15" t="str">
        <f>IF(AND(A318='BANG KE NL'!$M$11,TH!C318="NL",LEFT(D318,1)="N"),"x","")</f>
        <v/>
      </c>
    </row>
    <row r="319" spans="1:15" hidden="1">
      <c r="A319" s="24">
        <f t="shared" si="30"/>
        <v>10</v>
      </c>
      <c r="B319" s="176" t="str">
        <f>IF(AND(MONTH(E319)='IN-NX'!$J$5,'IN-NX'!$D$7=(D319&amp;"/"&amp;C319)),"x","")</f>
        <v/>
      </c>
      <c r="C319" s="173" t="s">
        <v>226</v>
      </c>
      <c r="D319" s="173" t="s">
        <v>215</v>
      </c>
      <c r="E319" s="70">
        <v>42282</v>
      </c>
      <c r="F319" s="62" t="s">
        <v>55</v>
      </c>
      <c r="G319" s="19" t="s">
        <v>205</v>
      </c>
      <c r="H319" s="200" t="s">
        <v>231</v>
      </c>
      <c r="I319" s="57" t="s">
        <v>124</v>
      </c>
      <c r="J319" s="15">
        <v>13500</v>
      </c>
      <c r="K319" s="15">
        <v>6983</v>
      </c>
      <c r="L319" s="15">
        <f t="shared" si="31"/>
        <v>94270500</v>
      </c>
      <c r="M319" s="15"/>
      <c r="N319" s="15">
        <f t="shared" si="32"/>
        <v>0</v>
      </c>
      <c r="O319" s="15" t="str">
        <f>IF(AND(A319='BANG KE NL'!$M$11,TH!C319="NL",LEFT(D319,1)="N"),"x","")</f>
        <v/>
      </c>
    </row>
    <row r="320" spans="1:15" hidden="1">
      <c r="A320" s="24">
        <f t="shared" si="30"/>
        <v>10</v>
      </c>
      <c r="B320" s="176" t="str">
        <f>IF(AND(MONTH(E320)='IN-NX'!$J$5,'IN-NX'!$D$7=(D320&amp;"/"&amp;C320)),"x","")</f>
        <v/>
      </c>
      <c r="C320" s="173" t="s">
        <v>226</v>
      </c>
      <c r="D320" s="173" t="s">
        <v>216</v>
      </c>
      <c r="E320" s="70">
        <v>42282</v>
      </c>
      <c r="F320" s="62" t="s">
        <v>55</v>
      </c>
      <c r="G320" s="19" t="s">
        <v>206</v>
      </c>
      <c r="H320" s="200" t="s">
        <v>231</v>
      </c>
      <c r="I320" s="57" t="s">
        <v>124</v>
      </c>
      <c r="J320" s="15">
        <v>13500</v>
      </c>
      <c r="K320" s="15">
        <v>6890</v>
      </c>
      <c r="L320" s="15">
        <f t="shared" si="31"/>
        <v>93015000</v>
      </c>
      <c r="M320" s="15"/>
      <c r="N320" s="15">
        <f t="shared" si="32"/>
        <v>0</v>
      </c>
      <c r="O320" s="15" t="str">
        <f>IF(AND(A320='BANG KE NL'!$M$11,TH!C320="NL",LEFT(D320,1)="N"),"x","")</f>
        <v/>
      </c>
    </row>
    <row r="321" spans="1:15" hidden="1">
      <c r="A321" s="24">
        <f t="shared" si="30"/>
        <v>10</v>
      </c>
      <c r="B321" s="176" t="str">
        <f>IF(AND(MONTH(E321)='IN-NX'!$J$5,'IN-NX'!$D$7=(D321&amp;"/"&amp;C321)),"x","")</f>
        <v/>
      </c>
      <c r="C321" s="173" t="s">
        <v>226</v>
      </c>
      <c r="D321" s="173" t="s">
        <v>217</v>
      </c>
      <c r="E321" s="70">
        <v>42282</v>
      </c>
      <c r="F321" s="62" t="s">
        <v>55</v>
      </c>
      <c r="G321" s="19" t="s">
        <v>208</v>
      </c>
      <c r="H321" s="200" t="s">
        <v>231</v>
      </c>
      <c r="I321" s="57" t="s">
        <v>124</v>
      </c>
      <c r="J321" s="15">
        <v>13500</v>
      </c>
      <c r="K321" s="15">
        <v>7430</v>
      </c>
      <c r="L321" s="15">
        <f t="shared" si="31"/>
        <v>100305000</v>
      </c>
      <c r="M321" s="15"/>
      <c r="N321" s="15">
        <f t="shared" si="32"/>
        <v>0</v>
      </c>
      <c r="O321" s="15" t="str">
        <f>IF(AND(A321='BANG KE NL'!$M$11,TH!C321="NL",LEFT(D321,1)="N"),"x","")</f>
        <v/>
      </c>
    </row>
    <row r="322" spans="1:15" hidden="1">
      <c r="A322" s="24">
        <f t="shared" si="30"/>
        <v>10</v>
      </c>
      <c r="B322" s="176" t="str">
        <f>IF(AND(MONTH(E322)='IN-NX'!$J$5,'IN-NX'!$D$7=(D322&amp;"/"&amp;C322)),"x","")</f>
        <v/>
      </c>
      <c r="C322" s="173" t="s">
        <v>226</v>
      </c>
      <c r="D322" s="173" t="s">
        <v>218</v>
      </c>
      <c r="E322" s="70">
        <v>42282</v>
      </c>
      <c r="F322" s="62" t="s">
        <v>55</v>
      </c>
      <c r="G322" s="19" t="s">
        <v>207</v>
      </c>
      <c r="H322" s="200" t="s">
        <v>231</v>
      </c>
      <c r="I322" s="57" t="s">
        <v>124</v>
      </c>
      <c r="J322" s="15">
        <v>13500</v>
      </c>
      <c r="K322" s="15">
        <v>7028</v>
      </c>
      <c r="L322" s="15">
        <f t="shared" si="31"/>
        <v>94878000</v>
      </c>
      <c r="M322" s="15"/>
      <c r="N322" s="15">
        <f t="shared" si="32"/>
        <v>0</v>
      </c>
      <c r="O322" s="15" t="str">
        <f>IF(AND(A322='BANG KE NL'!$M$11,TH!C322="NL",LEFT(D322,1)="N"),"x","")</f>
        <v/>
      </c>
    </row>
    <row r="323" spans="1:15" hidden="1">
      <c r="A323" s="24">
        <f t="shared" si="30"/>
        <v>10</v>
      </c>
      <c r="B323" s="176" t="str">
        <f>IF(AND(MONTH(E323)='IN-NX'!$J$5,'IN-NX'!$D$7=(D323&amp;"/"&amp;C323)),"x","")</f>
        <v/>
      </c>
      <c r="C323" s="173" t="s">
        <v>226</v>
      </c>
      <c r="D323" s="173" t="s">
        <v>219</v>
      </c>
      <c r="E323" s="70">
        <v>42287</v>
      </c>
      <c r="F323" s="62" t="s">
        <v>55</v>
      </c>
      <c r="G323" s="19" t="s">
        <v>202</v>
      </c>
      <c r="H323" s="200" t="s">
        <v>231</v>
      </c>
      <c r="I323" s="57" t="s">
        <v>124</v>
      </c>
      <c r="J323" s="15">
        <v>13500</v>
      </c>
      <c r="K323" s="15">
        <v>7060</v>
      </c>
      <c r="L323" s="15">
        <f t="shared" si="31"/>
        <v>95310000</v>
      </c>
      <c r="M323" s="15"/>
      <c r="N323" s="15">
        <f t="shared" si="32"/>
        <v>0</v>
      </c>
      <c r="O323" s="15" t="str">
        <f>IF(AND(A323='BANG KE NL'!$M$11,TH!C323="NL",LEFT(D323,1)="N"),"x","")</f>
        <v/>
      </c>
    </row>
    <row r="324" spans="1:15" hidden="1">
      <c r="A324" s="24">
        <f t="shared" si="30"/>
        <v>10</v>
      </c>
      <c r="B324" s="176" t="str">
        <f>IF(AND(MONTH(E324)='IN-NX'!$J$5,'IN-NX'!$D$7=(D324&amp;"/"&amp;C324)),"x","")</f>
        <v/>
      </c>
      <c r="C324" s="173" t="s">
        <v>226</v>
      </c>
      <c r="D324" s="173" t="s">
        <v>232</v>
      </c>
      <c r="E324" s="70">
        <v>42287</v>
      </c>
      <c r="F324" s="62" t="s">
        <v>55</v>
      </c>
      <c r="G324" s="19" t="s">
        <v>210</v>
      </c>
      <c r="H324" s="200" t="s">
        <v>231</v>
      </c>
      <c r="I324" s="57" t="s">
        <v>124</v>
      </c>
      <c r="J324" s="15">
        <v>13500</v>
      </c>
      <c r="K324" s="15">
        <v>7083</v>
      </c>
      <c r="L324" s="15">
        <f t="shared" ref="L324:L335" si="33">ROUND(J324*K324,0)</f>
        <v>95620500</v>
      </c>
      <c r="M324" s="15"/>
      <c r="N324" s="15">
        <f t="shared" ref="N324:N335" si="34">ROUND(J324*M324,0)</f>
        <v>0</v>
      </c>
      <c r="O324" s="15" t="str">
        <f>IF(AND(A324='BANG KE NL'!$M$11,TH!C324="NL",LEFT(D324,1)="N"),"x","")</f>
        <v/>
      </c>
    </row>
    <row r="325" spans="1:15" hidden="1">
      <c r="A325" s="24">
        <f t="shared" si="30"/>
        <v>10</v>
      </c>
      <c r="B325" s="176" t="str">
        <f>IF(AND(MONTH(E325)='IN-NX'!$J$5,'IN-NX'!$D$7=(D325&amp;"/"&amp;C325)),"x","")</f>
        <v/>
      </c>
      <c r="C325" s="173" t="s">
        <v>226</v>
      </c>
      <c r="D325" s="173" t="s">
        <v>234</v>
      </c>
      <c r="E325" s="70">
        <v>42287</v>
      </c>
      <c r="F325" s="62" t="s">
        <v>55</v>
      </c>
      <c r="G325" s="19" t="s">
        <v>205</v>
      </c>
      <c r="H325" s="200" t="s">
        <v>231</v>
      </c>
      <c r="I325" s="57" t="s">
        <v>124</v>
      </c>
      <c r="J325" s="15">
        <v>13500</v>
      </c>
      <c r="K325" s="15">
        <v>6340</v>
      </c>
      <c r="L325" s="15">
        <f t="shared" si="33"/>
        <v>85590000</v>
      </c>
      <c r="M325" s="15"/>
      <c r="N325" s="15">
        <f t="shared" si="34"/>
        <v>0</v>
      </c>
      <c r="O325" s="15" t="str">
        <f>IF(AND(A325='BANG KE NL'!$M$11,TH!C325="NL",LEFT(D325,1)="N"),"x","")</f>
        <v/>
      </c>
    </row>
    <row r="326" spans="1:15" hidden="1">
      <c r="A326" s="24">
        <f t="shared" si="30"/>
        <v>10</v>
      </c>
      <c r="B326" s="176" t="str">
        <f>IF(AND(MONTH(E326)='IN-NX'!$J$5,'IN-NX'!$D$7=(D326&amp;"/"&amp;C326)),"x","")</f>
        <v/>
      </c>
      <c r="C326" s="173" t="s">
        <v>226</v>
      </c>
      <c r="D326" s="173" t="s">
        <v>235</v>
      </c>
      <c r="E326" s="70">
        <v>42287</v>
      </c>
      <c r="F326" s="62" t="s">
        <v>55</v>
      </c>
      <c r="G326" s="19" t="s">
        <v>206</v>
      </c>
      <c r="H326" s="200" t="s">
        <v>231</v>
      </c>
      <c r="I326" s="57" t="s">
        <v>124</v>
      </c>
      <c r="J326" s="15">
        <v>13500</v>
      </c>
      <c r="K326" s="15">
        <v>7120</v>
      </c>
      <c r="L326" s="15">
        <f t="shared" si="33"/>
        <v>96120000</v>
      </c>
      <c r="M326" s="15"/>
      <c r="N326" s="15">
        <f t="shared" si="34"/>
        <v>0</v>
      </c>
      <c r="O326" s="15" t="str">
        <f>IF(AND(A326='BANG KE NL'!$M$11,TH!C326="NL",LEFT(D326,1)="N"),"x","")</f>
        <v/>
      </c>
    </row>
    <row r="327" spans="1:15" hidden="1">
      <c r="A327" s="24">
        <f t="shared" si="30"/>
        <v>10</v>
      </c>
      <c r="B327" s="176" t="str">
        <f>IF(AND(MONTH(E327)='IN-NX'!$J$5,'IN-NX'!$D$7=(D327&amp;"/"&amp;C327)),"x","")</f>
        <v/>
      </c>
      <c r="C327" s="173" t="s">
        <v>226</v>
      </c>
      <c r="D327" s="173" t="s">
        <v>236</v>
      </c>
      <c r="E327" s="70">
        <v>42287</v>
      </c>
      <c r="F327" s="62" t="s">
        <v>55</v>
      </c>
      <c r="G327" s="19" t="s">
        <v>204</v>
      </c>
      <c r="H327" s="200" t="s">
        <v>231</v>
      </c>
      <c r="I327" s="57" t="s">
        <v>124</v>
      </c>
      <c r="J327" s="15">
        <v>13500</v>
      </c>
      <c r="K327" s="15">
        <v>7250</v>
      </c>
      <c r="L327" s="15">
        <f t="shared" si="33"/>
        <v>97875000</v>
      </c>
      <c r="M327" s="15"/>
      <c r="N327" s="15">
        <f t="shared" si="34"/>
        <v>0</v>
      </c>
      <c r="O327" s="15" t="str">
        <f>IF(AND(A327='BANG KE NL'!$M$11,TH!C327="NL",LEFT(D327,1)="N"),"x","")</f>
        <v/>
      </c>
    </row>
    <row r="328" spans="1:15" hidden="1">
      <c r="A328" s="24">
        <f t="shared" si="30"/>
        <v>10</v>
      </c>
      <c r="B328" s="176" t="str">
        <f>IF(AND(MONTH(E328)='IN-NX'!$J$5,'IN-NX'!$D$7=(D328&amp;"/"&amp;C328)),"x","")</f>
        <v/>
      </c>
      <c r="C328" s="173" t="s">
        <v>226</v>
      </c>
      <c r="D328" s="173" t="s">
        <v>240</v>
      </c>
      <c r="E328" s="70">
        <v>42294</v>
      </c>
      <c r="F328" s="62" t="s">
        <v>55</v>
      </c>
      <c r="G328" s="19" t="s">
        <v>204</v>
      </c>
      <c r="H328" s="200" t="s">
        <v>231</v>
      </c>
      <c r="I328" s="57" t="s">
        <v>124</v>
      </c>
      <c r="J328" s="15">
        <v>13500</v>
      </c>
      <c r="K328" s="15">
        <v>6890</v>
      </c>
      <c r="L328" s="15">
        <f t="shared" si="33"/>
        <v>93015000</v>
      </c>
      <c r="M328" s="15"/>
      <c r="N328" s="15">
        <f t="shared" si="34"/>
        <v>0</v>
      </c>
      <c r="O328" s="15" t="str">
        <f>IF(AND(A328='BANG KE NL'!$M$11,TH!C328="NL",LEFT(D328,1)="N"),"x","")</f>
        <v/>
      </c>
    </row>
    <row r="329" spans="1:15" hidden="1">
      <c r="A329" s="24">
        <f t="shared" si="30"/>
        <v>10</v>
      </c>
      <c r="B329" s="176" t="str">
        <f>IF(AND(MONTH(E329)='IN-NX'!$J$5,'IN-NX'!$D$7=(D329&amp;"/"&amp;C329)),"x","")</f>
        <v/>
      </c>
      <c r="C329" s="173" t="s">
        <v>226</v>
      </c>
      <c r="D329" s="173" t="s">
        <v>241</v>
      </c>
      <c r="E329" s="70">
        <v>42294</v>
      </c>
      <c r="F329" s="62" t="s">
        <v>55</v>
      </c>
      <c r="G329" s="19" t="s">
        <v>205</v>
      </c>
      <c r="H329" s="200" t="s">
        <v>231</v>
      </c>
      <c r="I329" s="57" t="s">
        <v>124</v>
      </c>
      <c r="J329" s="15">
        <v>13500</v>
      </c>
      <c r="K329" s="15">
        <v>6670</v>
      </c>
      <c r="L329" s="15">
        <f t="shared" si="33"/>
        <v>90045000</v>
      </c>
      <c r="M329" s="15"/>
      <c r="N329" s="15">
        <f t="shared" si="34"/>
        <v>0</v>
      </c>
      <c r="O329" s="15" t="str">
        <f>IF(AND(A329='BANG KE NL'!$M$11,TH!C329="NL",LEFT(D329,1)="N"),"x","")</f>
        <v/>
      </c>
    </row>
    <row r="330" spans="1:15" hidden="1">
      <c r="A330" s="24">
        <f t="shared" si="30"/>
        <v>10</v>
      </c>
      <c r="B330" s="176" t="str">
        <f>IF(AND(MONTH(E330)='IN-NX'!$J$5,'IN-NX'!$D$7=(D330&amp;"/"&amp;C330)),"x","")</f>
        <v/>
      </c>
      <c r="C330" s="173" t="s">
        <v>226</v>
      </c>
      <c r="D330" s="173" t="s">
        <v>242</v>
      </c>
      <c r="E330" s="70">
        <v>42294</v>
      </c>
      <c r="F330" s="62" t="s">
        <v>55</v>
      </c>
      <c r="G330" s="19" t="s">
        <v>206</v>
      </c>
      <c r="H330" s="200" t="s">
        <v>231</v>
      </c>
      <c r="I330" s="57" t="s">
        <v>124</v>
      </c>
      <c r="J330" s="15">
        <v>13500</v>
      </c>
      <c r="K330" s="15">
        <v>6930</v>
      </c>
      <c r="L330" s="15">
        <f t="shared" si="33"/>
        <v>93555000</v>
      </c>
      <c r="M330" s="15"/>
      <c r="N330" s="15">
        <f t="shared" si="34"/>
        <v>0</v>
      </c>
      <c r="O330" s="15" t="str">
        <f>IF(AND(A330='BANG KE NL'!$M$11,TH!C330="NL",LEFT(D330,1)="N"),"x","")</f>
        <v/>
      </c>
    </row>
    <row r="331" spans="1:15" hidden="1">
      <c r="A331" s="24">
        <f t="shared" si="30"/>
        <v>10</v>
      </c>
      <c r="B331" s="176" t="str">
        <f>IF(AND(MONTH(E331)='IN-NX'!$J$5,'IN-NX'!$D$7=(D331&amp;"/"&amp;C331)),"x","")</f>
        <v/>
      </c>
      <c r="C331" s="173" t="s">
        <v>226</v>
      </c>
      <c r="D331" s="173" t="s">
        <v>243</v>
      </c>
      <c r="E331" s="70">
        <v>42294</v>
      </c>
      <c r="F331" s="62" t="s">
        <v>55</v>
      </c>
      <c r="G331" s="19" t="s">
        <v>207</v>
      </c>
      <c r="H331" s="200" t="s">
        <v>231</v>
      </c>
      <c r="I331" s="57" t="s">
        <v>124</v>
      </c>
      <c r="J331" s="15">
        <v>13500</v>
      </c>
      <c r="K331" s="15">
        <v>6780</v>
      </c>
      <c r="L331" s="15">
        <f t="shared" si="33"/>
        <v>91530000</v>
      </c>
      <c r="M331" s="15"/>
      <c r="N331" s="15">
        <f t="shared" si="34"/>
        <v>0</v>
      </c>
      <c r="O331" s="15" t="str">
        <f>IF(AND(A331='BANG KE NL'!$M$11,TH!C331="NL",LEFT(D331,1)="N"),"x","")</f>
        <v/>
      </c>
    </row>
    <row r="332" spans="1:15" hidden="1">
      <c r="A332" s="24">
        <f t="shared" si="30"/>
        <v>10</v>
      </c>
      <c r="B332" s="176" t="str">
        <f>IF(AND(MONTH(E332)='IN-NX'!$J$5,'IN-NX'!$D$7=(D332&amp;"/"&amp;C332)),"x","")</f>
        <v/>
      </c>
      <c r="C332" s="173" t="s">
        <v>226</v>
      </c>
      <c r="D332" s="173" t="s">
        <v>244</v>
      </c>
      <c r="E332" s="70">
        <v>42299</v>
      </c>
      <c r="F332" s="62" t="s">
        <v>55</v>
      </c>
      <c r="G332" s="19" t="s">
        <v>202</v>
      </c>
      <c r="H332" s="200" t="s">
        <v>231</v>
      </c>
      <c r="I332" s="57" t="s">
        <v>124</v>
      </c>
      <c r="J332" s="15">
        <v>13500</v>
      </c>
      <c r="K332" s="15">
        <v>6930</v>
      </c>
      <c r="L332" s="15">
        <f t="shared" si="33"/>
        <v>93555000</v>
      </c>
      <c r="M332" s="15"/>
      <c r="N332" s="15">
        <f t="shared" si="34"/>
        <v>0</v>
      </c>
      <c r="O332" s="15" t="str">
        <f>IF(AND(A332='BANG KE NL'!$M$11,TH!C332="NL",LEFT(D332,1)="N"),"x","")</f>
        <v/>
      </c>
    </row>
    <row r="333" spans="1:15" hidden="1">
      <c r="A333" s="24">
        <f t="shared" si="30"/>
        <v>10</v>
      </c>
      <c r="B333" s="176" t="str">
        <f>IF(AND(MONTH(E333)='IN-NX'!$J$5,'IN-NX'!$D$7=(D333&amp;"/"&amp;C333)),"x","")</f>
        <v/>
      </c>
      <c r="C333" s="173" t="s">
        <v>226</v>
      </c>
      <c r="D333" s="173" t="s">
        <v>245</v>
      </c>
      <c r="E333" s="70">
        <v>42299</v>
      </c>
      <c r="F333" s="62" t="s">
        <v>55</v>
      </c>
      <c r="G333" s="19" t="s">
        <v>210</v>
      </c>
      <c r="H333" s="200" t="s">
        <v>231</v>
      </c>
      <c r="I333" s="57" t="s">
        <v>124</v>
      </c>
      <c r="J333" s="15">
        <v>13500</v>
      </c>
      <c r="K333" s="15">
        <v>6980</v>
      </c>
      <c r="L333" s="15">
        <f t="shared" si="33"/>
        <v>94230000</v>
      </c>
      <c r="M333" s="15"/>
      <c r="N333" s="15">
        <f t="shared" si="34"/>
        <v>0</v>
      </c>
      <c r="O333" s="15" t="str">
        <f>IF(AND(A333='BANG KE NL'!$M$11,TH!C333="NL",LEFT(D333,1)="N"),"x","")</f>
        <v/>
      </c>
    </row>
    <row r="334" spans="1:15" hidden="1">
      <c r="A334" s="24">
        <f t="shared" si="30"/>
        <v>10</v>
      </c>
      <c r="B334" s="176" t="str">
        <f>IF(AND(MONTH(E334)='IN-NX'!$J$5,'IN-NX'!$D$7=(D334&amp;"/"&amp;C334)),"x","")</f>
        <v/>
      </c>
      <c r="C334" s="173" t="s">
        <v>226</v>
      </c>
      <c r="D334" s="173" t="s">
        <v>246</v>
      </c>
      <c r="E334" s="70">
        <v>42299</v>
      </c>
      <c r="F334" s="62" t="s">
        <v>55</v>
      </c>
      <c r="G334" s="19" t="s">
        <v>204</v>
      </c>
      <c r="H334" s="200" t="s">
        <v>231</v>
      </c>
      <c r="I334" s="57" t="s">
        <v>124</v>
      </c>
      <c r="J334" s="15">
        <v>13500</v>
      </c>
      <c r="K334" s="15">
        <v>6403</v>
      </c>
      <c r="L334" s="15">
        <f t="shared" si="33"/>
        <v>86440500</v>
      </c>
      <c r="M334" s="15"/>
      <c r="N334" s="15">
        <f t="shared" si="34"/>
        <v>0</v>
      </c>
      <c r="O334" s="15" t="str">
        <f>IF(AND(A334='BANG KE NL'!$M$11,TH!C334="NL",LEFT(D334,1)="N"),"x","")</f>
        <v/>
      </c>
    </row>
    <row r="335" spans="1:15" hidden="1">
      <c r="A335" s="24">
        <f t="shared" si="30"/>
        <v>10</v>
      </c>
      <c r="B335" s="176" t="str">
        <f>IF(AND(MONTH(E335)='IN-NX'!$J$5,'IN-NX'!$D$7=(D335&amp;"/"&amp;C335)),"x","")</f>
        <v/>
      </c>
      <c r="C335" s="173" t="s">
        <v>226</v>
      </c>
      <c r="D335" s="173" t="s">
        <v>247</v>
      </c>
      <c r="E335" s="70">
        <v>42299</v>
      </c>
      <c r="F335" s="62" t="s">
        <v>55</v>
      </c>
      <c r="G335" s="19" t="s">
        <v>205</v>
      </c>
      <c r="H335" s="200" t="s">
        <v>231</v>
      </c>
      <c r="I335" s="57" t="s">
        <v>124</v>
      </c>
      <c r="J335" s="15">
        <v>13500</v>
      </c>
      <c r="K335" s="15">
        <f>124300-SUM(K318:K334)</f>
        <v>6514</v>
      </c>
      <c r="L335" s="15">
        <f t="shared" si="33"/>
        <v>87939000</v>
      </c>
      <c r="M335" s="15"/>
      <c r="N335" s="15">
        <f t="shared" si="34"/>
        <v>0</v>
      </c>
      <c r="O335" s="15" t="str">
        <f>IF(AND(A335='BANG KE NL'!$M$11,TH!C335="NL",LEFT(D335,1)="N"),"x","")</f>
        <v/>
      </c>
    </row>
    <row r="336" spans="1:15" hidden="1">
      <c r="A336" s="24">
        <f t="shared" si="30"/>
        <v>10</v>
      </c>
      <c r="B336" s="176" t="str">
        <f>IF(AND(MONTH(E336)='IN-NX'!$J$5,'IN-NX'!$D$7=(D336&amp;"/"&amp;C336)),"x","")</f>
        <v/>
      </c>
      <c r="C336" s="173" t="s">
        <v>226</v>
      </c>
      <c r="D336" s="173" t="s">
        <v>220</v>
      </c>
      <c r="E336" s="70">
        <v>42282</v>
      </c>
      <c r="F336" s="62" t="s">
        <v>55</v>
      </c>
      <c r="G336" s="19" t="s">
        <v>229</v>
      </c>
      <c r="H336" s="200" t="s">
        <v>97</v>
      </c>
      <c r="I336" s="200" t="s">
        <v>231</v>
      </c>
      <c r="J336" s="15">
        <v>13500</v>
      </c>
      <c r="K336" s="15"/>
      <c r="L336" s="15">
        <f>ROUND(J336*K336,0)</f>
        <v>0</v>
      </c>
      <c r="M336" s="15">
        <v>35350</v>
      </c>
      <c r="N336" s="15">
        <f>ROUND(J336*M336,0)</f>
        <v>477225000</v>
      </c>
      <c r="O336" s="15" t="str">
        <f>IF(AND(A336='BANG KE NL'!$M$11,TH!C336="NL",LEFT(D336,1)="N"),"x","")</f>
        <v/>
      </c>
    </row>
    <row r="337" spans="1:15" hidden="1">
      <c r="A337" s="24">
        <f t="shared" si="30"/>
        <v>10</v>
      </c>
      <c r="B337" s="176" t="str">
        <f>IF(AND(MONTH(E337)='IN-NX'!$J$5,'IN-NX'!$D$7=(D337&amp;"/"&amp;C337)),"x","")</f>
        <v/>
      </c>
      <c r="C337" s="173" t="s">
        <v>226</v>
      </c>
      <c r="D337" s="173" t="s">
        <v>221</v>
      </c>
      <c r="E337" s="70">
        <v>42287</v>
      </c>
      <c r="F337" s="62" t="s">
        <v>55</v>
      </c>
      <c r="G337" s="19" t="s">
        <v>229</v>
      </c>
      <c r="H337" s="200" t="s">
        <v>97</v>
      </c>
      <c r="I337" s="200" t="s">
        <v>231</v>
      </c>
      <c r="J337" s="15">
        <v>13500</v>
      </c>
      <c r="K337" s="15"/>
      <c r="L337" s="15">
        <f t="shared" ref="L337:L356" si="35">ROUND(J337*K337,0)</f>
        <v>0</v>
      </c>
      <c r="M337" s="15">
        <v>34853</v>
      </c>
      <c r="N337" s="15">
        <f t="shared" ref="N337:N356" si="36">ROUND(J337*M337,0)</f>
        <v>470515500</v>
      </c>
      <c r="O337" s="15" t="str">
        <f>IF(AND(A337='BANG KE NL'!$M$11,TH!C337="NL",LEFT(D337,1)="N"),"x","")</f>
        <v/>
      </c>
    </row>
    <row r="338" spans="1:15" hidden="1">
      <c r="A338" s="24">
        <f t="shared" si="30"/>
        <v>10</v>
      </c>
      <c r="B338" s="176" t="str">
        <f>IF(AND(MONTH(E338)='IN-NX'!$J$5,'IN-NX'!$D$7=(D338&amp;"/"&amp;C338)),"x","")</f>
        <v/>
      </c>
      <c r="C338" s="173" t="s">
        <v>226</v>
      </c>
      <c r="D338" s="173" t="s">
        <v>223</v>
      </c>
      <c r="E338" s="70">
        <v>42294</v>
      </c>
      <c r="F338" s="62" t="s">
        <v>55</v>
      </c>
      <c r="G338" s="19" t="s">
        <v>229</v>
      </c>
      <c r="H338" s="200" t="s">
        <v>97</v>
      </c>
      <c r="I338" s="200" t="s">
        <v>231</v>
      </c>
      <c r="J338" s="15">
        <v>13500</v>
      </c>
      <c r="K338" s="15"/>
      <c r="L338" s="15">
        <f t="shared" si="35"/>
        <v>0</v>
      </c>
      <c r="M338" s="15">
        <v>27270</v>
      </c>
      <c r="N338" s="15">
        <f t="shared" si="36"/>
        <v>368145000</v>
      </c>
      <c r="O338" s="15" t="str">
        <f>IF(AND(A338='BANG KE NL'!$M$11,TH!C338="NL",LEFT(D338,1)="N"),"x","")</f>
        <v/>
      </c>
    </row>
    <row r="339" spans="1:15" hidden="1">
      <c r="A339" s="24">
        <f t="shared" si="30"/>
        <v>10</v>
      </c>
      <c r="B339" s="176" t="str">
        <f>IF(AND(MONTH(E339)='IN-NX'!$J$5,'IN-NX'!$D$7=(D339&amp;"/"&amp;C339)),"x","")</f>
        <v/>
      </c>
      <c r="C339" s="173" t="s">
        <v>226</v>
      </c>
      <c r="D339" s="173" t="s">
        <v>230</v>
      </c>
      <c r="E339" s="70">
        <v>42299</v>
      </c>
      <c r="F339" s="62" t="s">
        <v>55</v>
      </c>
      <c r="G339" s="19" t="s">
        <v>229</v>
      </c>
      <c r="H339" s="200" t="s">
        <v>97</v>
      </c>
      <c r="I339" s="200" t="s">
        <v>231</v>
      </c>
      <c r="J339" s="15">
        <v>13500</v>
      </c>
      <c r="K339" s="15"/>
      <c r="L339" s="15">
        <f t="shared" si="35"/>
        <v>0</v>
      </c>
      <c r="M339" s="15">
        <v>26827</v>
      </c>
      <c r="N339" s="15">
        <f t="shared" si="36"/>
        <v>362164500</v>
      </c>
      <c r="O339" s="15" t="str">
        <f>IF(AND(A339='BANG KE NL'!$M$11,TH!C339="NL",LEFT(D339,1)="N"),"x","")</f>
        <v/>
      </c>
    </row>
    <row r="340" spans="1:15" hidden="1">
      <c r="A340" s="24">
        <f t="shared" si="30"/>
        <v>10</v>
      </c>
      <c r="B340" s="176" t="str">
        <f>IF(AND(MONTH(E340)='IN-NX'!$J$5,'IN-NX'!$D$7=(D340&amp;"/"&amp;C340)),"x","")</f>
        <v/>
      </c>
      <c r="C340" s="173" t="s">
        <v>226</v>
      </c>
      <c r="D340" s="173" t="s">
        <v>237</v>
      </c>
      <c r="E340" s="70">
        <v>42288</v>
      </c>
      <c r="F340" s="62" t="s">
        <v>69</v>
      </c>
      <c r="G340" s="19" t="s">
        <v>172</v>
      </c>
      <c r="H340" s="200" t="s">
        <v>231</v>
      </c>
      <c r="I340" s="57" t="s">
        <v>124</v>
      </c>
      <c r="J340" s="15">
        <v>16500</v>
      </c>
      <c r="K340" s="15">
        <v>7560</v>
      </c>
      <c r="L340" s="15">
        <f t="shared" si="35"/>
        <v>124740000</v>
      </c>
      <c r="M340" s="15"/>
      <c r="N340" s="15">
        <f t="shared" si="36"/>
        <v>0</v>
      </c>
      <c r="O340" s="15" t="str">
        <f>IF(AND(A340='BANG KE NL'!$M$11,TH!C340="NL",LEFT(D340,1)="N"),"x","")</f>
        <v/>
      </c>
    </row>
    <row r="341" spans="1:15" hidden="1">
      <c r="A341" s="24">
        <f t="shared" si="30"/>
        <v>10</v>
      </c>
      <c r="B341" s="176" t="str">
        <f>IF(AND(MONTH(E341)='IN-NX'!$J$5,'IN-NX'!$D$7=(D341&amp;"/"&amp;C341)),"x","")</f>
        <v/>
      </c>
      <c r="C341" s="173" t="s">
        <v>226</v>
      </c>
      <c r="D341" s="173" t="s">
        <v>238</v>
      </c>
      <c r="E341" s="70">
        <v>42288</v>
      </c>
      <c r="F341" s="62" t="s">
        <v>69</v>
      </c>
      <c r="G341" s="19" t="s">
        <v>167</v>
      </c>
      <c r="H341" s="200" t="s">
        <v>231</v>
      </c>
      <c r="I341" s="57" t="s">
        <v>124</v>
      </c>
      <c r="J341" s="15">
        <v>16500</v>
      </c>
      <c r="K341" s="15">
        <v>7790</v>
      </c>
      <c r="L341" s="15">
        <f t="shared" si="35"/>
        <v>128535000</v>
      </c>
      <c r="M341" s="15"/>
      <c r="N341" s="15">
        <f t="shared" si="36"/>
        <v>0</v>
      </c>
      <c r="O341" s="15" t="str">
        <f>IF(AND(A341='BANG KE NL'!$M$11,TH!C341="NL",LEFT(D341,1)="N"),"x","")</f>
        <v/>
      </c>
    </row>
    <row r="342" spans="1:15" hidden="1">
      <c r="A342" s="24">
        <f t="shared" si="30"/>
        <v>10</v>
      </c>
      <c r="B342" s="176" t="str">
        <f>IF(AND(MONTH(E342)='IN-NX'!$J$5,'IN-NX'!$D$7=(D342&amp;"/"&amp;C342)),"x","")</f>
        <v/>
      </c>
      <c r="C342" s="173" t="s">
        <v>226</v>
      </c>
      <c r="D342" s="173" t="s">
        <v>239</v>
      </c>
      <c r="E342" s="70">
        <v>42288</v>
      </c>
      <c r="F342" s="62" t="s">
        <v>69</v>
      </c>
      <c r="G342" s="19" t="s">
        <v>173</v>
      </c>
      <c r="H342" s="200" t="s">
        <v>231</v>
      </c>
      <c r="I342" s="57" t="s">
        <v>124</v>
      </c>
      <c r="J342" s="15">
        <v>16500</v>
      </c>
      <c r="K342" s="15">
        <f>23040-SUM(K340:K341)</f>
        <v>7690</v>
      </c>
      <c r="L342" s="15">
        <f t="shared" si="35"/>
        <v>126885000</v>
      </c>
      <c r="M342" s="15"/>
      <c r="N342" s="15">
        <f t="shared" si="36"/>
        <v>0</v>
      </c>
      <c r="O342" s="15" t="str">
        <f>IF(AND(A342='BANG KE NL'!$M$11,TH!C342="NL",LEFT(D342,1)="N"),"x","")</f>
        <v/>
      </c>
    </row>
    <row r="343" spans="1:15" hidden="1">
      <c r="A343" s="24">
        <f t="shared" si="30"/>
        <v>10</v>
      </c>
      <c r="B343" s="176" t="str">
        <f>IF(AND(MONTH(E343)='IN-NX'!$J$5,'IN-NX'!$D$7=(D343&amp;"/"&amp;C343)),"x","")</f>
        <v/>
      </c>
      <c r="C343" s="173" t="s">
        <v>226</v>
      </c>
      <c r="D343" s="173" t="s">
        <v>222</v>
      </c>
      <c r="E343" s="70">
        <v>42288</v>
      </c>
      <c r="F343" s="62" t="s">
        <v>69</v>
      </c>
      <c r="G343" s="19" t="s">
        <v>229</v>
      </c>
      <c r="H343" s="200" t="s">
        <v>97</v>
      </c>
      <c r="I343" s="200" t="s">
        <v>231</v>
      </c>
      <c r="J343" s="15">
        <v>16500</v>
      </c>
      <c r="K343" s="15"/>
      <c r="L343" s="15">
        <f t="shared" si="35"/>
        <v>0</v>
      </c>
      <c r="M343" s="15">
        <v>23040</v>
      </c>
      <c r="N343" s="15">
        <f t="shared" si="36"/>
        <v>380160000</v>
      </c>
      <c r="O343" s="15" t="str">
        <f>IF(AND(A343='BANG KE NL'!$M$11,TH!C343="NL",LEFT(D343,1)="N"),"x","")</f>
        <v/>
      </c>
    </row>
    <row r="344" spans="1:15" hidden="1">
      <c r="A344" s="24">
        <f t="shared" si="30"/>
        <v>10</v>
      </c>
      <c r="B344" s="176" t="str">
        <f>IF(AND(MONTH(E344)='IN-NX'!$J$5,'IN-NX'!$D$7=(D344&amp;"/"&amp;C344)),"x","")</f>
        <v/>
      </c>
      <c r="C344" s="173" t="s">
        <v>226</v>
      </c>
      <c r="D344" s="173" t="s">
        <v>248</v>
      </c>
      <c r="E344" s="70">
        <v>42302</v>
      </c>
      <c r="F344" s="62" t="s">
        <v>68</v>
      </c>
      <c r="G344" s="19" t="s">
        <v>180</v>
      </c>
      <c r="H344" s="200" t="s">
        <v>231</v>
      </c>
      <c r="I344" s="57" t="s">
        <v>124</v>
      </c>
      <c r="J344" s="15">
        <v>17500</v>
      </c>
      <c r="K344" s="15">
        <v>6980</v>
      </c>
      <c r="L344" s="15">
        <f t="shared" si="35"/>
        <v>122150000</v>
      </c>
      <c r="M344" s="15"/>
      <c r="N344" s="15">
        <f t="shared" si="36"/>
        <v>0</v>
      </c>
      <c r="O344" s="15" t="str">
        <f>IF(AND(A344='BANG KE NL'!$M$11,TH!C344="NL",LEFT(D344,1)="N"),"x","")</f>
        <v/>
      </c>
    </row>
    <row r="345" spans="1:15" hidden="1">
      <c r="A345" s="24">
        <f t="shared" si="30"/>
        <v>10</v>
      </c>
      <c r="B345" s="176" t="str">
        <f>IF(AND(MONTH(E345)='IN-NX'!$J$5,'IN-NX'!$D$7=(D345&amp;"/"&amp;C345)),"x","")</f>
        <v/>
      </c>
      <c r="C345" s="173" t="s">
        <v>226</v>
      </c>
      <c r="D345" s="173" t="s">
        <v>249</v>
      </c>
      <c r="E345" s="70">
        <v>42302</v>
      </c>
      <c r="F345" s="62" t="s">
        <v>68</v>
      </c>
      <c r="G345" s="19" t="s">
        <v>181</v>
      </c>
      <c r="H345" s="200" t="s">
        <v>231</v>
      </c>
      <c r="I345" s="57" t="s">
        <v>124</v>
      </c>
      <c r="J345" s="15">
        <v>17500</v>
      </c>
      <c r="K345" s="15">
        <v>6850</v>
      </c>
      <c r="L345" s="15">
        <f t="shared" si="35"/>
        <v>119875000</v>
      </c>
      <c r="M345" s="15"/>
      <c r="N345" s="15">
        <f t="shared" si="36"/>
        <v>0</v>
      </c>
      <c r="O345" s="15" t="str">
        <f>IF(AND(A345='BANG KE NL'!$M$11,TH!C345="NL",LEFT(D345,1)="N"),"x","")</f>
        <v/>
      </c>
    </row>
    <row r="346" spans="1:15" hidden="1">
      <c r="A346" s="24">
        <f t="shared" si="30"/>
        <v>10</v>
      </c>
      <c r="B346" s="176" t="str">
        <f>IF(AND(MONTH(E346)='IN-NX'!$J$5,'IN-NX'!$D$7=(D346&amp;"/"&amp;C346)),"x","")</f>
        <v/>
      </c>
      <c r="C346" s="173" t="s">
        <v>226</v>
      </c>
      <c r="D346" s="173" t="s">
        <v>250</v>
      </c>
      <c r="E346" s="70">
        <v>42302</v>
      </c>
      <c r="F346" s="62" t="s">
        <v>68</v>
      </c>
      <c r="G346" s="19" t="s">
        <v>189</v>
      </c>
      <c r="H346" s="200" t="s">
        <v>231</v>
      </c>
      <c r="I346" s="57" t="s">
        <v>124</v>
      </c>
      <c r="J346" s="15">
        <v>17500</v>
      </c>
      <c r="K346" s="15">
        <f>21263-SUM(K344:K345)</f>
        <v>7433</v>
      </c>
      <c r="L346" s="15">
        <f t="shared" si="35"/>
        <v>130077500</v>
      </c>
      <c r="M346" s="15"/>
      <c r="N346" s="15">
        <f t="shared" si="36"/>
        <v>0</v>
      </c>
      <c r="O346" s="15" t="str">
        <f>IF(AND(A346='BANG KE NL'!$M$11,TH!C346="NL",LEFT(D346,1)="N"),"x","")</f>
        <v/>
      </c>
    </row>
    <row r="347" spans="1:15" hidden="1">
      <c r="A347" s="24">
        <f t="shared" si="30"/>
        <v>10</v>
      </c>
      <c r="B347" s="176" t="str">
        <f>IF(AND(MONTH(E347)='IN-NX'!$J$5,'IN-NX'!$D$7=(D347&amp;"/"&amp;C347)),"x","")</f>
        <v/>
      </c>
      <c r="C347" s="173" t="s">
        <v>226</v>
      </c>
      <c r="D347" s="173" t="s">
        <v>268</v>
      </c>
      <c r="E347" s="70">
        <v>42302</v>
      </c>
      <c r="F347" s="62" t="s">
        <v>68</v>
      </c>
      <c r="G347" s="19" t="s">
        <v>229</v>
      </c>
      <c r="H347" s="200" t="s">
        <v>97</v>
      </c>
      <c r="I347" s="57" t="s">
        <v>231</v>
      </c>
      <c r="J347" s="15">
        <v>17500</v>
      </c>
      <c r="K347" s="15"/>
      <c r="L347" s="15">
        <f t="shared" si="35"/>
        <v>0</v>
      </c>
      <c r="M347" s="15">
        <v>21263</v>
      </c>
      <c r="N347" s="15">
        <f t="shared" si="36"/>
        <v>372102500</v>
      </c>
      <c r="O347" s="15" t="str">
        <f>IF(AND(A347='BANG KE NL'!$M$11,TH!C347="NL",LEFT(D347,1)="N"),"x","")</f>
        <v/>
      </c>
    </row>
    <row r="348" spans="1:15" hidden="1">
      <c r="A348" s="24">
        <f t="shared" ref="A348:A395" si="37">IF(E348&lt;&gt;"",MONTH(E348),"")</f>
        <v>11</v>
      </c>
      <c r="B348" s="176" t="str">
        <f>IF(AND(MONTH(E348)='IN-NX'!$J$5,'IN-NX'!$D$7=(D348&amp;"/"&amp;C348)),"x","")</f>
        <v/>
      </c>
      <c r="C348" s="173" t="s">
        <v>226</v>
      </c>
      <c r="D348" s="173" t="s">
        <v>214</v>
      </c>
      <c r="E348" s="70">
        <v>42317</v>
      </c>
      <c r="F348" s="62" t="s">
        <v>55</v>
      </c>
      <c r="G348" s="19" t="s">
        <v>210</v>
      </c>
      <c r="H348" s="200" t="s">
        <v>231</v>
      </c>
      <c r="I348" s="57" t="s">
        <v>124</v>
      </c>
      <c r="J348" s="15">
        <v>16000</v>
      </c>
      <c r="K348" s="15">
        <v>7250</v>
      </c>
      <c r="L348" s="15">
        <f t="shared" si="35"/>
        <v>116000000</v>
      </c>
      <c r="M348" s="15"/>
      <c r="N348" s="15">
        <f t="shared" si="36"/>
        <v>0</v>
      </c>
      <c r="O348" s="15" t="str">
        <f>IF(AND(A348='BANG KE NL'!$M$11,TH!C348="NL",LEFT(D348,1)="N"),"x","")</f>
        <v/>
      </c>
    </row>
    <row r="349" spans="1:15" hidden="1">
      <c r="A349" s="24">
        <f t="shared" si="37"/>
        <v>11</v>
      </c>
      <c r="B349" s="176" t="str">
        <f>IF(AND(MONTH(E349)='IN-NX'!$J$5,'IN-NX'!$D$7=(D349&amp;"/"&amp;C349)),"x","")</f>
        <v/>
      </c>
      <c r="C349" s="173" t="s">
        <v>226</v>
      </c>
      <c r="D349" s="173" t="s">
        <v>215</v>
      </c>
      <c r="E349" s="70">
        <v>42317</v>
      </c>
      <c r="F349" s="62" t="s">
        <v>55</v>
      </c>
      <c r="G349" s="19" t="s">
        <v>204</v>
      </c>
      <c r="H349" s="200" t="s">
        <v>231</v>
      </c>
      <c r="I349" s="57" t="s">
        <v>124</v>
      </c>
      <c r="J349" s="15">
        <v>16000</v>
      </c>
      <c r="K349" s="15">
        <v>7890</v>
      </c>
      <c r="L349" s="15">
        <f t="shared" si="35"/>
        <v>126240000</v>
      </c>
      <c r="M349" s="15"/>
      <c r="N349" s="15">
        <f t="shared" si="36"/>
        <v>0</v>
      </c>
      <c r="O349" s="15" t="str">
        <f>IF(AND(A349='BANG KE NL'!$M$11,TH!C349="NL",LEFT(D349,1)="N"),"x","")</f>
        <v/>
      </c>
    </row>
    <row r="350" spans="1:15" hidden="1">
      <c r="A350" s="24">
        <f t="shared" si="37"/>
        <v>11</v>
      </c>
      <c r="B350" s="176" t="str">
        <f>IF(AND(MONTH(E350)='IN-NX'!$J$5,'IN-NX'!$D$7=(D350&amp;"/"&amp;C350)),"x","")</f>
        <v/>
      </c>
      <c r="C350" s="173" t="s">
        <v>226</v>
      </c>
      <c r="D350" s="173" t="s">
        <v>216</v>
      </c>
      <c r="E350" s="70">
        <v>42317</v>
      </c>
      <c r="F350" s="62" t="s">
        <v>55</v>
      </c>
      <c r="G350" s="19" t="s">
        <v>205</v>
      </c>
      <c r="H350" s="200" t="s">
        <v>231</v>
      </c>
      <c r="I350" s="57" t="s">
        <v>124</v>
      </c>
      <c r="J350" s="15">
        <v>16000</v>
      </c>
      <c r="K350" s="15">
        <v>6670</v>
      </c>
      <c r="L350" s="15">
        <f t="shared" si="35"/>
        <v>106720000</v>
      </c>
      <c r="M350" s="15"/>
      <c r="N350" s="15">
        <f t="shared" si="36"/>
        <v>0</v>
      </c>
      <c r="O350" s="15" t="str">
        <f>IF(AND(A350='BANG KE NL'!$M$11,TH!C350="NL",LEFT(D350,1)="N"),"x","")</f>
        <v/>
      </c>
    </row>
    <row r="351" spans="1:15" hidden="1">
      <c r="A351" s="24">
        <f t="shared" si="37"/>
        <v>11</v>
      </c>
      <c r="B351" s="176" t="str">
        <f>IF(AND(MONTH(E351)='IN-NX'!$J$5,'IN-NX'!$D$7=(D351&amp;"/"&amp;C351)),"x","")</f>
        <v/>
      </c>
      <c r="C351" s="173" t="s">
        <v>226</v>
      </c>
      <c r="D351" s="173" t="s">
        <v>217</v>
      </c>
      <c r="E351" s="70">
        <v>42317</v>
      </c>
      <c r="F351" s="62" t="s">
        <v>55</v>
      </c>
      <c r="G351" s="19" t="s">
        <v>206</v>
      </c>
      <c r="H351" s="200" t="s">
        <v>231</v>
      </c>
      <c r="I351" s="57" t="s">
        <v>124</v>
      </c>
      <c r="J351" s="15">
        <v>16000</v>
      </c>
      <c r="K351" s="15">
        <v>6930</v>
      </c>
      <c r="L351" s="15">
        <f t="shared" si="35"/>
        <v>110880000</v>
      </c>
      <c r="M351" s="15"/>
      <c r="N351" s="15">
        <f t="shared" si="36"/>
        <v>0</v>
      </c>
      <c r="O351" s="15" t="str">
        <f>IF(AND(A351='BANG KE NL'!$M$11,TH!C351="NL",LEFT(D351,1)="N"),"x","")</f>
        <v/>
      </c>
    </row>
    <row r="352" spans="1:15" hidden="1">
      <c r="A352" s="24">
        <f t="shared" si="37"/>
        <v>11</v>
      </c>
      <c r="B352" s="176" t="str">
        <f>IF(AND(MONTH(E352)='IN-NX'!$J$5,'IN-NX'!$D$7=(D352&amp;"/"&amp;C352)),"x","")</f>
        <v/>
      </c>
      <c r="C352" s="173" t="s">
        <v>226</v>
      </c>
      <c r="D352" s="173" t="s">
        <v>218</v>
      </c>
      <c r="E352" s="70">
        <v>42317</v>
      </c>
      <c r="F352" s="62" t="s">
        <v>55</v>
      </c>
      <c r="G352" s="19" t="s">
        <v>207</v>
      </c>
      <c r="H352" s="200" t="s">
        <v>231</v>
      </c>
      <c r="I352" s="57" t="s">
        <v>124</v>
      </c>
      <c r="J352" s="15">
        <v>16000</v>
      </c>
      <c r="K352" s="15">
        <v>6780</v>
      </c>
      <c r="L352" s="15">
        <f t="shared" si="35"/>
        <v>108480000</v>
      </c>
      <c r="M352" s="15"/>
      <c r="N352" s="15">
        <f t="shared" si="36"/>
        <v>0</v>
      </c>
      <c r="O352" s="15" t="str">
        <f>IF(AND(A352='BANG KE NL'!$M$11,TH!C352="NL",LEFT(D352,1)="N"),"x","")</f>
        <v/>
      </c>
    </row>
    <row r="353" spans="1:15" hidden="1">
      <c r="A353" s="24">
        <f t="shared" si="37"/>
        <v>11</v>
      </c>
      <c r="B353" s="176" t="str">
        <f>IF(AND(MONTH(E353)='IN-NX'!$J$5,'IN-NX'!$D$7=(D353&amp;"/"&amp;C353)),"x","")</f>
        <v/>
      </c>
      <c r="C353" s="173" t="s">
        <v>226</v>
      </c>
      <c r="D353" s="173" t="s">
        <v>234</v>
      </c>
      <c r="E353" s="70">
        <v>42323</v>
      </c>
      <c r="F353" s="62" t="s">
        <v>55</v>
      </c>
      <c r="G353" s="19" t="s">
        <v>202</v>
      </c>
      <c r="H353" s="200" t="s">
        <v>231</v>
      </c>
      <c r="I353" s="57" t="s">
        <v>124</v>
      </c>
      <c r="J353" s="15">
        <v>16000</v>
      </c>
      <c r="K353" s="15">
        <v>6930</v>
      </c>
      <c r="L353" s="15">
        <f t="shared" si="35"/>
        <v>110880000</v>
      </c>
      <c r="M353" s="15"/>
      <c r="N353" s="15">
        <f t="shared" si="36"/>
        <v>0</v>
      </c>
      <c r="O353" s="15" t="str">
        <f>IF(AND(A353='BANG KE NL'!$M$11,TH!C353="NL",LEFT(D353,1)="N"),"x","")</f>
        <v/>
      </c>
    </row>
    <row r="354" spans="1:15" hidden="1">
      <c r="A354" s="24">
        <f t="shared" si="37"/>
        <v>11</v>
      </c>
      <c r="B354" s="176" t="str">
        <f>IF(AND(MONTH(E354)='IN-NX'!$J$5,'IN-NX'!$D$7=(D354&amp;"/"&amp;C354)),"x","")</f>
        <v/>
      </c>
      <c r="C354" s="173" t="s">
        <v>226</v>
      </c>
      <c r="D354" s="173" t="s">
        <v>235</v>
      </c>
      <c r="E354" s="70">
        <v>42323</v>
      </c>
      <c r="F354" s="62" t="s">
        <v>55</v>
      </c>
      <c r="G354" s="19" t="s">
        <v>210</v>
      </c>
      <c r="H354" s="200" t="s">
        <v>231</v>
      </c>
      <c r="I354" s="57" t="s">
        <v>124</v>
      </c>
      <c r="J354" s="15">
        <v>16000</v>
      </c>
      <c r="K354" s="15">
        <v>6980</v>
      </c>
      <c r="L354" s="15">
        <f t="shared" si="35"/>
        <v>111680000</v>
      </c>
      <c r="M354" s="15"/>
      <c r="N354" s="15">
        <f t="shared" si="36"/>
        <v>0</v>
      </c>
      <c r="O354" s="15" t="str">
        <f>IF(AND(A354='BANG KE NL'!$M$11,TH!C354="NL",LEFT(D354,1)="N"),"x","")</f>
        <v/>
      </c>
    </row>
    <row r="355" spans="1:15" hidden="1">
      <c r="A355" s="24">
        <f t="shared" si="37"/>
        <v>11</v>
      </c>
      <c r="B355" s="176" t="str">
        <f>IF(AND(MONTH(E355)='IN-NX'!$J$5,'IN-NX'!$D$7=(D355&amp;"/"&amp;C355)),"x","")</f>
        <v/>
      </c>
      <c r="C355" s="173" t="s">
        <v>226</v>
      </c>
      <c r="D355" s="173" t="s">
        <v>236</v>
      </c>
      <c r="E355" s="70">
        <v>42323</v>
      </c>
      <c r="F355" s="62" t="s">
        <v>55</v>
      </c>
      <c r="G355" s="19" t="s">
        <v>204</v>
      </c>
      <c r="H355" s="200" t="s">
        <v>231</v>
      </c>
      <c r="I355" s="57" t="s">
        <v>124</v>
      </c>
      <c r="J355" s="15">
        <v>16000</v>
      </c>
      <c r="K355" s="15">
        <v>6403</v>
      </c>
      <c r="L355" s="15">
        <f t="shared" si="35"/>
        <v>102448000</v>
      </c>
      <c r="M355" s="15"/>
      <c r="N355" s="15">
        <f t="shared" si="36"/>
        <v>0</v>
      </c>
      <c r="O355" s="15" t="str">
        <f>IF(AND(A355='BANG KE NL'!$M$11,TH!C355="NL",LEFT(D355,1)="N"),"x","")</f>
        <v/>
      </c>
    </row>
    <row r="356" spans="1:15" hidden="1">
      <c r="A356" s="24">
        <f t="shared" si="37"/>
        <v>11</v>
      </c>
      <c r="B356" s="176" t="str">
        <f>IF(AND(MONTH(E356)='IN-NX'!$J$5,'IN-NX'!$D$7=(D356&amp;"/"&amp;C356)),"x","")</f>
        <v/>
      </c>
      <c r="C356" s="173" t="s">
        <v>226</v>
      </c>
      <c r="D356" s="173" t="s">
        <v>237</v>
      </c>
      <c r="E356" s="70">
        <v>42323</v>
      </c>
      <c r="F356" s="62" t="s">
        <v>55</v>
      </c>
      <c r="G356" s="19" t="s">
        <v>205</v>
      </c>
      <c r="H356" s="200" t="s">
        <v>231</v>
      </c>
      <c r="I356" s="57" t="s">
        <v>124</v>
      </c>
      <c r="J356" s="15">
        <v>16000</v>
      </c>
      <c r="K356" s="15">
        <f>63470-SUM(K348:K355)</f>
        <v>7637</v>
      </c>
      <c r="L356" s="15">
        <f t="shared" si="35"/>
        <v>122192000</v>
      </c>
      <c r="M356" s="15"/>
      <c r="N356" s="15">
        <f t="shared" si="36"/>
        <v>0</v>
      </c>
      <c r="O356" s="15" t="str">
        <f>IF(AND(A356='BANG KE NL'!$M$11,TH!C356="NL",LEFT(D356,1)="N"),"x","")</f>
        <v/>
      </c>
    </row>
    <row r="357" spans="1:15" hidden="1">
      <c r="A357" s="24">
        <f t="shared" si="37"/>
        <v>11</v>
      </c>
      <c r="B357" s="176" t="str">
        <f>IF(AND(MONTH(E357)='IN-NX'!$J$5,'IN-NX'!$D$7=(D357&amp;"/"&amp;C357)),"x","")</f>
        <v/>
      </c>
      <c r="C357" s="173" t="s">
        <v>226</v>
      </c>
      <c r="D357" s="173" t="s">
        <v>220</v>
      </c>
      <c r="E357" s="70">
        <v>42317</v>
      </c>
      <c r="F357" s="62" t="s">
        <v>55</v>
      </c>
      <c r="G357" s="19" t="s">
        <v>229</v>
      </c>
      <c r="H357" s="200" t="s">
        <v>97</v>
      </c>
      <c r="I357" s="200" t="s">
        <v>231</v>
      </c>
      <c r="J357" s="15">
        <v>16000</v>
      </c>
      <c r="K357" s="15"/>
      <c r="L357" s="15">
        <f>ROUND(J357*K357,0)</f>
        <v>0</v>
      </c>
      <c r="M357" s="15">
        <v>35520</v>
      </c>
      <c r="N357" s="15">
        <f>ROUND(J357*M357,0)</f>
        <v>568320000</v>
      </c>
      <c r="O357" s="15" t="str">
        <f>IF(AND(A357='BANG KE NL'!$M$11,TH!C357="NL",LEFT(D357,1)="N"),"x","")</f>
        <v/>
      </c>
    </row>
    <row r="358" spans="1:15" hidden="1">
      <c r="A358" s="24">
        <f t="shared" si="37"/>
        <v>11</v>
      </c>
      <c r="B358" s="176" t="str">
        <f>IF(AND(MONTH(E358)='IN-NX'!$J$5,'IN-NX'!$D$7=(D358&amp;"/"&amp;C358)),"x","")</f>
        <v/>
      </c>
      <c r="C358" s="173" t="s">
        <v>226</v>
      </c>
      <c r="D358" s="173" t="s">
        <v>222</v>
      </c>
      <c r="E358" s="70">
        <v>42323</v>
      </c>
      <c r="F358" s="62" t="s">
        <v>55</v>
      </c>
      <c r="G358" s="19" t="s">
        <v>229</v>
      </c>
      <c r="H358" s="200" t="s">
        <v>97</v>
      </c>
      <c r="I358" s="200" t="s">
        <v>231</v>
      </c>
      <c r="J358" s="15">
        <v>16000</v>
      </c>
      <c r="K358" s="15"/>
      <c r="L358" s="15">
        <f t="shared" ref="L358:L417" si="38">ROUND(J358*K358,0)</f>
        <v>0</v>
      </c>
      <c r="M358" s="15">
        <v>27950</v>
      </c>
      <c r="N358" s="15">
        <f t="shared" ref="N358:N417" si="39">ROUND(J358*M358,0)</f>
        <v>447200000</v>
      </c>
      <c r="O358" s="15" t="str">
        <f>IF(AND(A358='BANG KE NL'!$M$11,TH!C358="NL",LEFT(D358,1)="N"),"x","")</f>
        <v/>
      </c>
    </row>
    <row r="359" spans="1:15" hidden="1">
      <c r="A359" s="24">
        <f t="shared" si="37"/>
        <v>11</v>
      </c>
      <c r="B359" s="176" t="str">
        <f>IF(AND(MONTH(E359)='IN-NX'!$J$5,'IN-NX'!$D$7=(D359&amp;"/"&amp;C359)),"x","")</f>
        <v/>
      </c>
      <c r="C359" s="173" t="s">
        <v>226</v>
      </c>
      <c r="D359" s="173" t="s">
        <v>219</v>
      </c>
      <c r="E359" s="70">
        <v>42320</v>
      </c>
      <c r="F359" s="62" t="s">
        <v>69</v>
      </c>
      <c r="G359" s="19" t="s">
        <v>167</v>
      </c>
      <c r="H359" s="200" t="s">
        <v>231</v>
      </c>
      <c r="I359" s="57" t="s">
        <v>124</v>
      </c>
      <c r="J359" s="15">
        <v>16500</v>
      </c>
      <c r="K359" s="15">
        <v>5460</v>
      </c>
      <c r="L359" s="15">
        <f t="shared" si="38"/>
        <v>90090000</v>
      </c>
      <c r="M359" s="15"/>
      <c r="N359" s="15">
        <f t="shared" si="39"/>
        <v>0</v>
      </c>
      <c r="O359" s="15" t="str">
        <f>IF(AND(A359='BANG KE NL'!$M$11,TH!C359="NL",LEFT(D359,1)="N"),"x","")</f>
        <v/>
      </c>
    </row>
    <row r="360" spans="1:15" hidden="1">
      <c r="A360" s="24">
        <f t="shared" si="37"/>
        <v>11</v>
      </c>
      <c r="B360" s="176" t="str">
        <f>IF(AND(MONTH(E360)='IN-NX'!$J$5,'IN-NX'!$D$7=(D360&amp;"/"&amp;C360)),"x","")</f>
        <v/>
      </c>
      <c r="C360" s="173" t="s">
        <v>226</v>
      </c>
      <c r="D360" s="173" t="s">
        <v>232</v>
      </c>
      <c r="E360" s="70">
        <v>42320</v>
      </c>
      <c r="F360" s="62" t="s">
        <v>69</v>
      </c>
      <c r="G360" s="19" t="s">
        <v>173</v>
      </c>
      <c r="H360" s="200" t="s">
        <v>231</v>
      </c>
      <c r="I360" s="57" t="s">
        <v>124</v>
      </c>
      <c r="J360" s="15">
        <v>16500</v>
      </c>
      <c r="K360" s="15">
        <f>10880-SUM(K359)</f>
        <v>5420</v>
      </c>
      <c r="L360" s="15">
        <f t="shared" si="38"/>
        <v>89430000</v>
      </c>
      <c r="M360" s="15"/>
      <c r="N360" s="15">
        <f t="shared" si="39"/>
        <v>0</v>
      </c>
      <c r="O360" s="15" t="str">
        <f>IF(AND(A360='BANG KE NL'!$M$11,TH!C360="NL",LEFT(D360,1)="N"),"x","")</f>
        <v/>
      </c>
    </row>
    <row r="361" spans="1:15" hidden="1">
      <c r="A361" s="24">
        <f t="shared" si="37"/>
        <v>11</v>
      </c>
      <c r="B361" s="176" t="str">
        <f>IF(AND(MONTH(E361)='IN-NX'!$J$5,'IN-NX'!$D$7=(D361&amp;"/"&amp;C361)),"x","")</f>
        <v/>
      </c>
      <c r="C361" s="173" t="s">
        <v>226</v>
      </c>
      <c r="D361" s="173" t="s">
        <v>221</v>
      </c>
      <c r="E361" s="70">
        <v>42320</v>
      </c>
      <c r="F361" s="62" t="s">
        <v>69</v>
      </c>
      <c r="G361" s="19" t="s">
        <v>229</v>
      </c>
      <c r="H361" s="200" t="s">
        <v>97</v>
      </c>
      <c r="I361" s="200" t="s">
        <v>231</v>
      </c>
      <c r="J361" s="15">
        <v>16500</v>
      </c>
      <c r="K361" s="15"/>
      <c r="L361" s="15">
        <f t="shared" si="38"/>
        <v>0</v>
      </c>
      <c r="M361" s="15">
        <v>10880</v>
      </c>
      <c r="N361" s="15">
        <f t="shared" si="39"/>
        <v>179520000</v>
      </c>
      <c r="O361" s="15" t="str">
        <f>IF(AND(A361='BANG KE NL'!$M$11,TH!C361="NL",LEFT(D361,1)="N"),"x","")</f>
        <v/>
      </c>
    </row>
    <row r="362" spans="1:15" hidden="1">
      <c r="A362" s="24">
        <f t="shared" si="37"/>
        <v>11</v>
      </c>
      <c r="B362" s="176" t="str">
        <f>IF(AND(MONTH(E362)='IN-NX'!$J$5,'IN-NX'!$D$7=(D362&amp;"/"&amp;C362)),"x","")</f>
        <v/>
      </c>
      <c r="C362" s="173" t="s">
        <v>226</v>
      </c>
      <c r="D362" s="173" t="s">
        <v>238</v>
      </c>
      <c r="E362" s="70">
        <v>42325</v>
      </c>
      <c r="F362" s="62" t="s">
        <v>68</v>
      </c>
      <c r="G362" s="19" t="s">
        <v>174</v>
      </c>
      <c r="H362" s="200" t="s">
        <v>231</v>
      </c>
      <c r="I362" s="57" t="s">
        <v>124</v>
      </c>
      <c r="J362" s="15">
        <v>10000</v>
      </c>
      <c r="K362" s="15">
        <v>7420</v>
      </c>
      <c r="L362" s="15">
        <f t="shared" si="38"/>
        <v>74200000</v>
      </c>
      <c r="M362" s="15"/>
      <c r="N362" s="15">
        <f t="shared" si="39"/>
        <v>0</v>
      </c>
      <c r="O362" s="15" t="str">
        <f>IF(AND(A362='BANG KE NL'!$M$11,TH!C362="NL",LEFT(D362,1)="N"),"x","")</f>
        <v/>
      </c>
    </row>
    <row r="363" spans="1:15" hidden="1">
      <c r="A363" s="24">
        <f t="shared" si="37"/>
        <v>11</v>
      </c>
      <c r="B363" s="176" t="str">
        <f>IF(AND(MONTH(E363)='IN-NX'!$J$5,'IN-NX'!$D$7=(D363&amp;"/"&amp;C363)),"x","")</f>
        <v/>
      </c>
      <c r="C363" s="173" t="s">
        <v>226</v>
      </c>
      <c r="D363" s="173" t="s">
        <v>239</v>
      </c>
      <c r="E363" s="70">
        <v>42325</v>
      </c>
      <c r="F363" s="62" t="s">
        <v>68</v>
      </c>
      <c r="G363" s="19" t="s">
        <v>175</v>
      </c>
      <c r="H363" s="200" t="s">
        <v>231</v>
      </c>
      <c r="I363" s="57" t="s">
        <v>124</v>
      </c>
      <c r="J363" s="15">
        <v>10000</v>
      </c>
      <c r="K363" s="15">
        <v>6890</v>
      </c>
      <c r="L363" s="15">
        <f t="shared" si="38"/>
        <v>68900000</v>
      </c>
      <c r="M363" s="15"/>
      <c r="N363" s="15">
        <f t="shared" si="39"/>
        <v>0</v>
      </c>
      <c r="O363" s="15" t="str">
        <f>IF(AND(A363='BANG KE NL'!$M$11,TH!C363="NL",LEFT(D363,1)="N"),"x","")</f>
        <v/>
      </c>
    </row>
    <row r="364" spans="1:15" hidden="1">
      <c r="A364" s="24">
        <f t="shared" si="37"/>
        <v>11</v>
      </c>
      <c r="B364" s="176" t="str">
        <f>IF(AND(MONTH(E364)='IN-NX'!$J$5,'IN-NX'!$D$7=(D364&amp;"/"&amp;C364)),"x","")</f>
        <v/>
      </c>
      <c r="C364" s="173" t="s">
        <v>226</v>
      </c>
      <c r="D364" s="173" t="s">
        <v>240</v>
      </c>
      <c r="E364" s="70">
        <v>42325</v>
      </c>
      <c r="F364" s="62" t="s">
        <v>68</v>
      </c>
      <c r="G364" s="19" t="s">
        <v>176</v>
      </c>
      <c r="H364" s="200" t="s">
        <v>231</v>
      </c>
      <c r="I364" s="57" t="s">
        <v>124</v>
      </c>
      <c r="J364" s="15">
        <v>10000</v>
      </c>
      <c r="K364" s="15">
        <v>6930</v>
      </c>
      <c r="L364" s="15">
        <f t="shared" si="38"/>
        <v>69300000</v>
      </c>
      <c r="M364" s="15"/>
      <c r="N364" s="15">
        <f t="shared" si="39"/>
        <v>0</v>
      </c>
      <c r="O364" s="15" t="str">
        <f>IF(AND(A364='BANG KE NL'!$M$11,TH!C364="NL",LEFT(D364,1)="N"),"x","")</f>
        <v/>
      </c>
    </row>
    <row r="365" spans="1:15" hidden="1">
      <c r="A365" s="24">
        <f t="shared" si="37"/>
        <v>11</v>
      </c>
      <c r="B365" s="176" t="str">
        <f>IF(AND(MONTH(E365)='IN-NX'!$J$5,'IN-NX'!$D$7=(D365&amp;"/"&amp;C365)),"x","")</f>
        <v/>
      </c>
      <c r="C365" s="173" t="s">
        <v>226</v>
      </c>
      <c r="D365" s="173" t="s">
        <v>241</v>
      </c>
      <c r="E365" s="70">
        <v>42325</v>
      </c>
      <c r="F365" s="62" t="s">
        <v>68</v>
      </c>
      <c r="G365" s="19" t="s">
        <v>178</v>
      </c>
      <c r="H365" s="200" t="s">
        <v>231</v>
      </c>
      <c r="I365" s="57" t="s">
        <v>124</v>
      </c>
      <c r="J365" s="15">
        <v>10000</v>
      </c>
      <c r="K365" s="15">
        <v>7103</v>
      </c>
      <c r="L365" s="15">
        <f t="shared" si="38"/>
        <v>71030000</v>
      </c>
      <c r="M365" s="15"/>
      <c r="N365" s="15">
        <f t="shared" si="39"/>
        <v>0</v>
      </c>
      <c r="O365" s="15" t="str">
        <f>IF(AND(A365='BANG KE NL'!$M$11,TH!C365="NL",LEFT(D365,1)="N"),"x","")</f>
        <v/>
      </c>
    </row>
    <row r="366" spans="1:15" hidden="1">
      <c r="A366" s="24">
        <f t="shared" si="37"/>
        <v>11</v>
      </c>
      <c r="B366" s="176" t="str">
        <f>IF(AND(MONTH(E366)='IN-NX'!$J$5,'IN-NX'!$D$7=(D366&amp;"/"&amp;C366)),"x","")</f>
        <v/>
      </c>
      <c r="C366" s="173" t="s">
        <v>226</v>
      </c>
      <c r="D366" s="173" t="s">
        <v>242</v>
      </c>
      <c r="E366" s="70">
        <v>42325</v>
      </c>
      <c r="F366" s="62" t="s">
        <v>68</v>
      </c>
      <c r="G366" s="19" t="s">
        <v>177</v>
      </c>
      <c r="H366" s="200" t="s">
        <v>231</v>
      </c>
      <c r="I366" s="57" t="s">
        <v>124</v>
      </c>
      <c r="J366" s="15">
        <v>10000</v>
      </c>
      <c r="K366" s="15">
        <v>7480</v>
      </c>
      <c r="L366" s="15">
        <f t="shared" si="38"/>
        <v>74800000</v>
      </c>
      <c r="M366" s="15"/>
      <c r="N366" s="15">
        <f t="shared" si="39"/>
        <v>0</v>
      </c>
      <c r="O366" s="15" t="str">
        <f>IF(AND(A366='BANG KE NL'!$M$11,TH!C366="NL",LEFT(D366,1)="N"),"x","")</f>
        <v/>
      </c>
    </row>
    <row r="367" spans="1:15" hidden="1">
      <c r="A367" s="24">
        <f t="shared" si="37"/>
        <v>11</v>
      </c>
      <c r="B367" s="176" t="str">
        <f>IF(AND(MONTH(E367)='IN-NX'!$J$5,'IN-NX'!$D$7=(D367&amp;"/"&amp;C367)),"x","")</f>
        <v/>
      </c>
      <c r="C367" s="173" t="s">
        <v>226</v>
      </c>
      <c r="D367" s="173" t="s">
        <v>246</v>
      </c>
      <c r="E367" s="70">
        <v>42328</v>
      </c>
      <c r="F367" s="62" t="s">
        <v>68</v>
      </c>
      <c r="G367" s="19" t="s">
        <v>179</v>
      </c>
      <c r="H367" s="200" t="s">
        <v>231</v>
      </c>
      <c r="I367" s="57" t="s">
        <v>124</v>
      </c>
      <c r="J367" s="15">
        <v>10000</v>
      </c>
      <c r="K367" s="15">
        <v>7930</v>
      </c>
      <c r="L367" s="15">
        <f t="shared" si="38"/>
        <v>79300000</v>
      </c>
      <c r="M367" s="15"/>
      <c r="N367" s="15">
        <f t="shared" si="39"/>
        <v>0</v>
      </c>
      <c r="O367" s="15" t="str">
        <f>IF(AND(A367='BANG KE NL'!$M$11,TH!C367="NL",LEFT(D367,1)="N"),"x","")</f>
        <v/>
      </c>
    </row>
    <row r="368" spans="1:15" hidden="1">
      <c r="A368" s="24">
        <f t="shared" ref="A368:A378" si="40">IF(E368&lt;&gt;"",MONTH(E368),"")</f>
        <v>11</v>
      </c>
      <c r="B368" s="176" t="str">
        <f>IF(AND(MONTH(E368)='IN-NX'!$J$5,'IN-NX'!$D$7=(D368&amp;"/"&amp;C368)),"x","")</f>
        <v/>
      </c>
      <c r="C368" s="173" t="s">
        <v>226</v>
      </c>
      <c r="D368" s="173" t="s">
        <v>247</v>
      </c>
      <c r="E368" s="70">
        <v>42328</v>
      </c>
      <c r="F368" s="62" t="s">
        <v>68</v>
      </c>
      <c r="G368" s="19" t="s">
        <v>180</v>
      </c>
      <c r="H368" s="200" t="s">
        <v>231</v>
      </c>
      <c r="I368" s="57" t="s">
        <v>124</v>
      </c>
      <c r="J368" s="15">
        <v>10000</v>
      </c>
      <c r="K368" s="15">
        <v>7980</v>
      </c>
      <c r="L368" s="15">
        <f t="shared" ref="L368:L378" si="41">ROUND(J368*K368,0)</f>
        <v>79800000</v>
      </c>
      <c r="M368" s="15"/>
      <c r="N368" s="15">
        <f t="shared" ref="N368:N378" si="42">ROUND(J368*M368,0)</f>
        <v>0</v>
      </c>
      <c r="O368" s="15" t="str">
        <f>IF(AND(A368='BANG KE NL'!$M$11,TH!C368="NL",LEFT(D368,1)="N"),"x","")</f>
        <v/>
      </c>
    </row>
    <row r="369" spans="1:15" hidden="1">
      <c r="A369" s="24">
        <f t="shared" si="40"/>
        <v>11</v>
      </c>
      <c r="B369" s="176" t="str">
        <f>IF(AND(MONTH(E369)='IN-NX'!$J$5,'IN-NX'!$D$7=(D369&amp;"/"&amp;C369)),"x","")</f>
        <v/>
      </c>
      <c r="C369" s="173" t="s">
        <v>226</v>
      </c>
      <c r="D369" s="173" t="s">
        <v>248</v>
      </c>
      <c r="E369" s="70">
        <v>42328</v>
      </c>
      <c r="F369" s="62" t="s">
        <v>68</v>
      </c>
      <c r="G369" s="19" t="s">
        <v>174</v>
      </c>
      <c r="H369" s="200" t="s">
        <v>231</v>
      </c>
      <c r="I369" s="57" t="s">
        <v>124</v>
      </c>
      <c r="J369" s="15">
        <v>10000</v>
      </c>
      <c r="K369" s="15">
        <v>7049</v>
      </c>
      <c r="L369" s="15">
        <f t="shared" si="41"/>
        <v>70490000</v>
      </c>
      <c r="M369" s="15"/>
      <c r="N369" s="15">
        <f t="shared" si="42"/>
        <v>0</v>
      </c>
      <c r="O369" s="15" t="str">
        <f>IF(AND(A369='BANG KE NL'!$M$11,TH!C369="NL",LEFT(D369,1)="N"),"x","")</f>
        <v/>
      </c>
    </row>
    <row r="370" spans="1:15" hidden="1">
      <c r="A370" s="24">
        <f t="shared" si="40"/>
        <v>11</v>
      </c>
      <c r="B370" s="176" t="str">
        <f>IF(AND(MONTH(E370)='IN-NX'!$J$5,'IN-NX'!$D$7=(D370&amp;"/"&amp;C370)),"x","")</f>
        <v/>
      </c>
      <c r="C370" s="173" t="s">
        <v>226</v>
      </c>
      <c r="D370" s="173" t="s">
        <v>249</v>
      </c>
      <c r="E370" s="70">
        <v>42328</v>
      </c>
      <c r="F370" s="62" t="s">
        <v>68</v>
      </c>
      <c r="G370" s="19" t="s">
        <v>175</v>
      </c>
      <c r="H370" s="200" t="s">
        <v>231</v>
      </c>
      <c r="I370" s="57" t="s">
        <v>124</v>
      </c>
      <c r="J370" s="15">
        <v>10000</v>
      </c>
      <c r="K370" s="15">
        <v>7120</v>
      </c>
      <c r="L370" s="15">
        <f t="shared" si="41"/>
        <v>71200000</v>
      </c>
      <c r="M370" s="15"/>
      <c r="N370" s="15">
        <f t="shared" si="42"/>
        <v>0</v>
      </c>
      <c r="O370" s="15" t="str">
        <f>IF(AND(A370='BANG KE NL'!$M$11,TH!C370="NL",LEFT(D370,1)="N"),"x","")</f>
        <v/>
      </c>
    </row>
    <row r="371" spans="1:15" hidden="1">
      <c r="A371" s="24">
        <f t="shared" ref="A371:A376" si="43">IF(E371&lt;&gt;"",MONTH(E371),"")</f>
        <v>11</v>
      </c>
      <c r="B371" s="176" t="str">
        <f>IF(AND(MONTH(E371)='IN-NX'!$J$5,'IN-NX'!$D$7=(D371&amp;"/"&amp;C371)),"x","")</f>
        <v/>
      </c>
      <c r="C371" s="173" t="s">
        <v>226</v>
      </c>
      <c r="D371" s="173" t="s">
        <v>250</v>
      </c>
      <c r="E371" s="70">
        <v>42328</v>
      </c>
      <c r="F371" s="62" t="s">
        <v>68</v>
      </c>
      <c r="G371" s="19" t="s">
        <v>176</v>
      </c>
      <c r="H371" s="200" t="s">
        <v>231</v>
      </c>
      <c r="I371" s="57" t="s">
        <v>124</v>
      </c>
      <c r="J371" s="15">
        <v>10000</v>
      </c>
      <c r="K371" s="15">
        <v>7790</v>
      </c>
      <c r="L371" s="15">
        <f t="shared" ref="L371:L376" si="44">ROUND(J371*K371,0)</f>
        <v>77900000</v>
      </c>
      <c r="M371" s="15"/>
      <c r="N371" s="15">
        <f t="shared" ref="N371:N376" si="45">ROUND(J371*M371,0)</f>
        <v>0</v>
      </c>
      <c r="O371" s="15" t="str">
        <f>IF(AND(A371='BANG KE NL'!$M$11,TH!C371="NL",LEFT(D371,1)="N"),"x","")</f>
        <v/>
      </c>
    </row>
    <row r="372" spans="1:15" hidden="1">
      <c r="A372" s="24">
        <f t="shared" si="43"/>
        <v>11</v>
      </c>
      <c r="B372" s="176" t="str">
        <f>IF(AND(MONTH(E372)='IN-NX'!$J$5,'IN-NX'!$D$7=(D372&amp;"/"&amp;C372)),"x","")</f>
        <v/>
      </c>
      <c r="C372" s="173" t="s">
        <v>226</v>
      </c>
      <c r="D372" s="173" t="s">
        <v>251</v>
      </c>
      <c r="E372" s="70">
        <v>42333</v>
      </c>
      <c r="F372" s="62" t="s">
        <v>68</v>
      </c>
      <c r="G372" s="19" t="s">
        <v>178</v>
      </c>
      <c r="H372" s="200" t="s">
        <v>231</v>
      </c>
      <c r="I372" s="57" t="s">
        <v>124</v>
      </c>
      <c r="J372" s="15">
        <v>10000</v>
      </c>
      <c r="K372" s="15">
        <v>6980</v>
      </c>
      <c r="L372" s="15">
        <f t="shared" si="44"/>
        <v>69800000</v>
      </c>
      <c r="M372" s="15"/>
      <c r="N372" s="15">
        <f t="shared" si="45"/>
        <v>0</v>
      </c>
      <c r="O372" s="15" t="str">
        <f>IF(AND(A372='BANG KE NL'!$M$11,TH!C372="NL",LEFT(D372,1)="N"),"x","")</f>
        <v/>
      </c>
    </row>
    <row r="373" spans="1:15" hidden="1">
      <c r="A373" s="24">
        <f t="shared" si="43"/>
        <v>11</v>
      </c>
      <c r="B373" s="176" t="str">
        <f>IF(AND(MONTH(E373)='IN-NX'!$J$5,'IN-NX'!$D$7=(D373&amp;"/"&amp;C373)),"x","")</f>
        <v/>
      </c>
      <c r="C373" s="173" t="s">
        <v>226</v>
      </c>
      <c r="D373" s="173" t="s">
        <v>252</v>
      </c>
      <c r="E373" s="70">
        <v>42333</v>
      </c>
      <c r="F373" s="62" t="s">
        <v>68</v>
      </c>
      <c r="G373" s="19" t="s">
        <v>177</v>
      </c>
      <c r="H373" s="200" t="s">
        <v>231</v>
      </c>
      <c r="I373" s="57" t="s">
        <v>124</v>
      </c>
      <c r="J373" s="15">
        <v>10000</v>
      </c>
      <c r="K373" s="15">
        <v>7850</v>
      </c>
      <c r="L373" s="15">
        <f t="shared" si="44"/>
        <v>78500000</v>
      </c>
      <c r="M373" s="15"/>
      <c r="N373" s="15">
        <f t="shared" si="45"/>
        <v>0</v>
      </c>
      <c r="O373" s="15" t="str">
        <f>IF(AND(A373='BANG KE NL'!$M$11,TH!C373="NL",LEFT(D373,1)="N"),"x","")</f>
        <v/>
      </c>
    </row>
    <row r="374" spans="1:15" hidden="1">
      <c r="A374" s="24">
        <f t="shared" si="43"/>
        <v>11</v>
      </c>
      <c r="B374" s="176" t="str">
        <f>IF(AND(MONTH(E374)='IN-NX'!$J$5,'IN-NX'!$D$7=(D374&amp;"/"&amp;C374)),"x","")</f>
        <v/>
      </c>
      <c r="C374" s="173" t="s">
        <v>226</v>
      </c>
      <c r="D374" s="173" t="s">
        <v>253</v>
      </c>
      <c r="E374" s="70">
        <v>42333</v>
      </c>
      <c r="F374" s="62" t="s">
        <v>68</v>
      </c>
      <c r="G374" s="19" t="s">
        <v>180</v>
      </c>
      <c r="H374" s="200" t="s">
        <v>231</v>
      </c>
      <c r="I374" s="57" t="s">
        <v>124</v>
      </c>
      <c r="J374" s="15">
        <v>10000</v>
      </c>
      <c r="K374" s="15">
        <v>7460</v>
      </c>
      <c r="L374" s="15">
        <f t="shared" si="44"/>
        <v>74600000</v>
      </c>
      <c r="M374" s="15"/>
      <c r="N374" s="15">
        <f t="shared" si="45"/>
        <v>0</v>
      </c>
      <c r="O374" s="15" t="str">
        <f>IF(AND(A374='BANG KE NL'!$M$11,TH!C374="NL",LEFT(D374,1)="N"),"x","")</f>
        <v/>
      </c>
    </row>
    <row r="375" spans="1:15" hidden="1">
      <c r="A375" s="24">
        <f t="shared" si="43"/>
        <v>11</v>
      </c>
      <c r="B375" s="176" t="str">
        <f>IF(AND(MONTH(E375)='IN-NX'!$J$5,'IN-NX'!$D$7=(D375&amp;"/"&amp;C375)),"x","")</f>
        <v/>
      </c>
      <c r="C375" s="173" t="s">
        <v>226</v>
      </c>
      <c r="D375" s="173" t="s">
        <v>254</v>
      </c>
      <c r="E375" s="70">
        <v>42333</v>
      </c>
      <c r="F375" s="62" t="s">
        <v>68</v>
      </c>
      <c r="G375" s="19" t="s">
        <v>181</v>
      </c>
      <c r="H375" s="200" t="s">
        <v>231</v>
      </c>
      <c r="I375" s="57" t="s">
        <v>124</v>
      </c>
      <c r="J375" s="15">
        <v>10000</v>
      </c>
      <c r="K375" s="15">
        <v>7790</v>
      </c>
      <c r="L375" s="15">
        <f t="shared" si="44"/>
        <v>77900000</v>
      </c>
      <c r="M375" s="15"/>
      <c r="N375" s="15">
        <f t="shared" si="45"/>
        <v>0</v>
      </c>
      <c r="O375" s="15" t="str">
        <f>IF(AND(A375='BANG KE NL'!$M$11,TH!C375="NL",LEFT(D375,1)="N"),"x","")</f>
        <v/>
      </c>
    </row>
    <row r="376" spans="1:15" hidden="1">
      <c r="A376" s="24">
        <f t="shared" si="43"/>
        <v>11</v>
      </c>
      <c r="B376" s="176" t="str">
        <f>IF(AND(MONTH(E376)='IN-NX'!$J$5,'IN-NX'!$D$7=(D376&amp;"/"&amp;C376)),"x","")</f>
        <v/>
      </c>
      <c r="C376" s="173" t="s">
        <v>226</v>
      </c>
      <c r="D376" s="173" t="s">
        <v>255</v>
      </c>
      <c r="E376" s="70">
        <v>42333</v>
      </c>
      <c r="F376" s="62" t="s">
        <v>68</v>
      </c>
      <c r="G376" s="19" t="s">
        <v>176</v>
      </c>
      <c r="H376" s="200" t="s">
        <v>231</v>
      </c>
      <c r="I376" s="57" t="s">
        <v>124</v>
      </c>
      <c r="J376" s="15">
        <v>10000</v>
      </c>
      <c r="K376" s="15">
        <f>111150-SUM(K362:K375)</f>
        <v>7378</v>
      </c>
      <c r="L376" s="15">
        <f t="shared" si="44"/>
        <v>73780000</v>
      </c>
      <c r="M376" s="15"/>
      <c r="N376" s="15">
        <f t="shared" si="45"/>
        <v>0</v>
      </c>
      <c r="O376" s="15" t="str">
        <f>IF(AND(A376='BANG KE NL'!$M$11,TH!C376="NL",LEFT(D376,1)="N"),"x","")</f>
        <v/>
      </c>
    </row>
    <row r="377" spans="1:15" hidden="1">
      <c r="A377" s="24">
        <f t="shared" si="40"/>
        <v>11</v>
      </c>
      <c r="B377" s="176" t="str">
        <f>IF(AND(MONTH(E377)='IN-NX'!$J$5,'IN-NX'!$D$7=(D377&amp;"/"&amp;C377)),"x","")</f>
        <v/>
      </c>
      <c r="C377" s="173" t="s">
        <v>226</v>
      </c>
      <c r="D377" s="173" t="s">
        <v>223</v>
      </c>
      <c r="E377" s="70">
        <v>42325</v>
      </c>
      <c r="F377" s="62" t="s">
        <v>68</v>
      </c>
      <c r="G377" s="19" t="s">
        <v>229</v>
      </c>
      <c r="H377" s="200" t="s">
        <v>97</v>
      </c>
      <c r="I377" s="57" t="s">
        <v>231</v>
      </c>
      <c r="J377" s="15">
        <v>10000</v>
      </c>
      <c r="K377" s="15"/>
      <c r="L377" s="15">
        <f t="shared" si="41"/>
        <v>0</v>
      </c>
      <c r="M377" s="15">
        <v>35823</v>
      </c>
      <c r="N377" s="15">
        <f t="shared" si="42"/>
        <v>358230000</v>
      </c>
      <c r="O377" s="15" t="str">
        <f>IF(AND(A377='BANG KE NL'!$M$11,TH!C377="NL",LEFT(D377,1)="N"),"x","")</f>
        <v/>
      </c>
    </row>
    <row r="378" spans="1:15" hidden="1">
      <c r="A378" s="24">
        <f t="shared" si="40"/>
        <v>11</v>
      </c>
      <c r="B378" s="176" t="str">
        <f>IF(AND(MONTH(E378)='IN-NX'!$J$5,'IN-NX'!$D$7=(D378&amp;"/"&amp;C378)),"x","")</f>
        <v/>
      </c>
      <c r="C378" s="173" t="s">
        <v>226</v>
      </c>
      <c r="D378" s="173" t="s">
        <v>268</v>
      </c>
      <c r="E378" s="70">
        <v>42328</v>
      </c>
      <c r="F378" s="62" t="s">
        <v>68</v>
      </c>
      <c r="G378" s="19" t="s">
        <v>229</v>
      </c>
      <c r="H378" s="200" t="s">
        <v>97</v>
      </c>
      <c r="I378" s="57" t="s">
        <v>231</v>
      </c>
      <c r="J378" s="15">
        <v>10000</v>
      </c>
      <c r="K378" s="15"/>
      <c r="L378" s="15">
        <f t="shared" si="41"/>
        <v>0</v>
      </c>
      <c r="M378" s="15">
        <v>37869</v>
      </c>
      <c r="N378" s="15">
        <f t="shared" si="42"/>
        <v>378690000</v>
      </c>
      <c r="O378" s="15" t="str">
        <f>IF(AND(A378='BANG KE NL'!$M$11,TH!C378="NL",LEFT(D378,1)="N"),"x","")</f>
        <v/>
      </c>
    </row>
    <row r="379" spans="1:15" hidden="1">
      <c r="A379" s="24">
        <f t="shared" si="37"/>
        <v>11</v>
      </c>
      <c r="B379" s="176" t="str">
        <f>IF(AND(MONTH(E379)='IN-NX'!$J$5,'IN-NX'!$D$7=(D379&amp;"/"&amp;C379)),"x","")</f>
        <v/>
      </c>
      <c r="C379" s="173" t="s">
        <v>226</v>
      </c>
      <c r="D379" s="173" t="s">
        <v>269</v>
      </c>
      <c r="E379" s="70">
        <v>42333</v>
      </c>
      <c r="F379" s="62" t="s">
        <v>68</v>
      </c>
      <c r="G379" s="19" t="s">
        <v>229</v>
      </c>
      <c r="H379" s="200" t="s">
        <v>97</v>
      </c>
      <c r="I379" s="57" t="s">
        <v>231</v>
      </c>
      <c r="J379" s="15">
        <v>10000</v>
      </c>
      <c r="K379" s="15"/>
      <c r="L379" s="15">
        <f t="shared" si="38"/>
        <v>0</v>
      </c>
      <c r="M379" s="15">
        <v>37458</v>
      </c>
      <c r="N379" s="15">
        <f t="shared" si="39"/>
        <v>374580000</v>
      </c>
      <c r="O379" s="15" t="str">
        <f>IF(AND(A379='BANG KE NL'!$M$11,TH!C379="NL",LEFT(D379,1)="N"),"x","")</f>
        <v/>
      </c>
    </row>
    <row r="380" spans="1:15" hidden="1">
      <c r="A380" s="24">
        <f t="shared" si="37"/>
        <v>11</v>
      </c>
      <c r="B380" s="176" t="str">
        <f>IF(AND(MONTH(E380)='IN-NX'!$J$5,'IN-NX'!$D$7=(D380&amp;"/"&amp;C380)),"x","")</f>
        <v/>
      </c>
      <c r="C380" s="173" t="s">
        <v>226</v>
      </c>
      <c r="D380" s="173" t="s">
        <v>243</v>
      </c>
      <c r="E380" s="70">
        <v>42327</v>
      </c>
      <c r="F380" s="62" t="s">
        <v>387</v>
      </c>
      <c r="G380" s="19" t="s">
        <v>188</v>
      </c>
      <c r="H380" s="200" t="s">
        <v>231</v>
      </c>
      <c r="I380" s="57" t="s">
        <v>124</v>
      </c>
      <c r="J380" s="15">
        <v>24000</v>
      </c>
      <c r="K380" s="15">
        <v>7403</v>
      </c>
      <c r="L380" s="15">
        <f t="shared" si="38"/>
        <v>177672000</v>
      </c>
      <c r="M380" s="15"/>
      <c r="N380" s="15">
        <f t="shared" si="39"/>
        <v>0</v>
      </c>
      <c r="O380" s="15" t="str">
        <f>IF(AND(A380='BANG KE NL'!$M$11,TH!C380="NL",LEFT(D380,1)="N"),"x","")</f>
        <v/>
      </c>
    </row>
    <row r="381" spans="1:15" hidden="1">
      <c r="A381" s="24">
        <f t="shared" ref="A381" si="46">IF(E381&lt;&gt;"",MONTH(E381),"")</f>
        <v>11</v>
      </c>
      <c r="B381" s="176" t="str">
        <f>IF(AND(MONTH(E381)='IN-NX'!$J$5,'IN-NX'!$D$7=(D381&amp;"/"&amp;C381)),"x","")</f>
        <v/>
      </c>
      <c r="C381" s="173" t="s">
        <v>226</v>
      </c>
      <c r="D381" s="173" t="s">
        <v>244</v>
      </c>
      <c r="E381" s="70">
        <v>42327</v>
      </c>
      <c r="F381" s="62" t="s">
        <v>387</v>
      </c>
      <c r="G381" s="19" t="s">
        <v>189</v>
      </c>
      <c r="H381" s="200" t="s">
        <v>231</v>
      </c>
      <c r="I381" s="57" t="s">
        <v>124</v>
      </c>
      <c r="J381" s="15">
        <v>24000</v>
      </c>
      <c r="K381" s="15">
        <v>7020</v>
      </c>
      <c r="L381" s="15">
        <f t="shared" ref="L381" si="47">ROUND(J381*K381,0)</f>
        <v>168480000</v>
      </c>
      <c r="M381" s="15"/>
      <c r="N381" s="15">
        <f t="shared" ref="N381" si="48">ROUND(J381*M381,0)</f>
        <v>0</v>
      </c>
      <c r="O381" s="15" t="str">
        <f>IF(AND(A381='BANG KE NL'!$M$11,TH!C381="NL",LEFT(D381,1)="N"),"x","")</f>
        <v/>
      </c>
    </row>
    <row r="382" spans="1:15" hidden="1">
      <c r="A382" s="24">
        <f t="shared" si="37"/>
        <v>11</v>
      </c>
      <c r="B382" s="176" t="str">
        <f>IF(AND(MONTH(E382)='IN-NX'!$J$5,'IN-NX'!$D$7=(D382&amp;"/"&amp;C382)),"x","")</f>
        <v/>
      </c>
      <c r="C382" s="173" t="s">
        <v>226</v>
      </c>
      <c r="D382" s="173" t="s">
        <v>245</v>
      </c>
      <c r="E382" s="70">
        <v>42327</v>
      </c>
      <c r="F382" s="62" t="s">
        <v>387</v>
      </c>
      <c r="G382" s="19" t="s">
        <v>182</v>
      </c>
      <c r="H382" s="200" t="s">
        <v>231</v>
      </c>
      <c r="I382" s="57" t="s">
        <v>124</v>
      </c>
      <c r="J382" s="15">
        <v>24000</v>
      </c>
      <c r="K382" s="15">
        <v>7560</v>
      </c>
      <c r="L382" s="15">
        <f t="shared" si="38"/>
        <v>181440000</v>
      </c>
      <c r="M382" s="15"/>
      <c r="N382" s="15">
        <f t="shared" si="39"/>
        <v>0</v>
      </c>
      <c r="O382" s="15" t="str">
        <f>IF(AND(A382='BANG KE NL'!$M$11,TH!C382="NL",LEFT(D382,1)="N"),"x","")</f>
        <v/>
      </c>
    </row>
    <row r="383" spans="1:15" hidden="1">
      <c r="A383" s="24">
        <f t="shared" ref="A383" si="49">IF(E383&lt;&gt;"",MONTH(E383),"")</f>
        <v>11</v>
      </c>
      <c r="B383" s="176" t="str">
        <f>IF(AND(MONTH(E383)='IN-NX'!$J$5,'IN-NX'!$D$7=(D383&amp;"/"&amp;C383)),"x","")</f>
        <v/>
      </c>
      <c r="C383" s="173" t="s">
        <v>226</v>
      </c>
      <c r="D383" s="173" t="s">
        <v>256</v>
      </c>
      <c r="E383" s="70">
        <v>42334</v>
      </c>
      <c r="F383" s="62" t="s">
        <v>387</v>
      </c>
      <c r="G383" s="19" t="s">
        <v>185</v>
      </c>
      <c r="H383" s="200" t="s">
        <v>231</v>
      </c>
      <c r="I383" s="57" t="s">
        <v>124</v>
      </c>
      <c r="J383" s="15">
        <v>24000</v>
      </c>
      <c r="K383" s="15">
        <v>6980</v>
      </c>
      <c r="L383" s="15">
        <f t="shared" ref="L383" si="50">ROUND(J383*K383,0)</f>
        <v>167520000</v>
      </c>
      <c r="M383" s="15"/>
      <c r="N383" s="15">
        <f t="shared" ref="N383" si="51">ROUND(J383*M383,0)</f>
        <v>0</v>
      </c>
      <c r="O383" s="15" t="str">
        <f>IF(AND(A383='BANG KE NL'!$M$11,TH!C383="NL",LEFT(D383,1)="N"),"x","")</f>
        <v/>
      </c>
    </row>
    <row r="384" spans="1:15" hidden="1">
      <c r="A384" s="24">
        <f t="shared" ref="A384" si="52">IF(E384&lt;&gt;"",MONTH(E384),"")</f>
        <v>11</v>
      </c>
      <c r="B384" s="176" t="str">
        <f>IF(AND(MONTH(E384)='IN-NX'!$J$5,'IN-NX'!$D$7=(D384&amp;"/"&amp;C384)),"x","")</f>
        <v/>
      </c>
      <c r="C384" s="173" t="s">
        <v>226</v>
      </c>
      <c r="D384" s="173" t="s">
        <v>257</v>
      </c>
      <c r="E384" s="70">
        <v>42334</v>
      </c>
      <c r="F384" s="62" t="s">
        <v>387</v>
      </c>
      <c r="G384" s="19" t="s">
        <v>186</v>
      </c>
      <c r="H384" s="200" t="s">
        <v>231</v>
      </c>
      <c r="I384" s="57" t="s">
        <v>124</v>
      </c>
      <c r="J384" s="15">
        <v>24000</v>
      </c>
      <c r="K384" s="15">
        <v>6540</v>
      </c>
      <c r="L384" s="15">
        <f t="shared" ref="L384" si="53">ROUND(J384*K384,0)</f>
        <v>156960000</v>
      </c>
      <c r="M384" s="15"/>
      <c r="N384" s="15">
        <f t="shared" ref="N384" si="54">ROUND(J384*M384,0)</f>
        <v>0</v>
      </c>
      <c r="O384" s="15" t="str">
        <f>IF(AND(A384='BANG KE NL'!$M$11,TH!C384="NL",LEFT(D384,1)="N"),"x","")</f>
        <v/>
      </c>
    </row>
    <row r="385" spans="1:15" hidden="1">
      <c r="A385" s="24">
        <f t="shared" si="37"/>
        <v>11</v>
      </c>
      <c r="B385" s="176" t="str">
        <f>IF(AND(MONTH(E385)='IN-NX'!$J$5,'IN-NX'!$D$7=(D385&amp;"/"&amp;C385)),"x","")</f>
        <v/>
      </c>
      <c r="C385" s="173" t="s">
        <v>226</v>
      </c>
      <c r="D385" s="173" t="s">
        <v>258</v>
      </c>
      <c r="E385" s="70">
        <v>42334</v>
      </c>
      <c r="F385" s="62" t="s">
        <v>387</v>
      </c>
      <c r="G385" s="19" t="s">
        <v>187</v>
      </c>
      <c r="H385" s="200" t="s">
        <v>231</v>
      </c>
      <c r="I385" s="57" t="s">
        <v>124</v>
      </c>
      <c r="J385" s="15">
        <v>24000</v>
      </c>
      <c r="K385" s="15">
        <f>42900-SUM(K380:K384)</f>
        <v>7397</v>
      </c>
      <c r="L385" s="15">
        <f t="shared" si="38"/>
        <v>177528000</v>
      </c>
      <c r="M385" s="15"/>
      <c r="N385" s="15">
        <f t="shared" si="39"/>
        <v>0</v>
      </c>
      <c r="O385" s="15" t="str">
        <f>IF(AND(A385='BANG KE NL'!$M$11,TH!C385="NL",LEFT(D385,1)="N"),"x","")</f>
        <v/>
      </c>
    </row>
    <row r="386" spans="1:15" hidden="1">
      <c r="A386" s="24">
        <f t="shared" ref="A386" si="55">IF(E386&lt;&gt;"",MONTH(E386),"")</f>
        <v>11</v>
      </c>
      <c r="B386" s="176" t="str">
        <f>IF(AND(MONTH(E386)='IN-NX'!$J$5,'IN-NX'!$D$7=(D386&amp;"/"&amp;C386)),"x","")</f>
        <v/>
      </c>
      <c r="C386" s="173" t="s">
        <v>226</v>
      </c>
      <c r="D386" s="173" t="s">
        <v>230</v>
      </c>
      <c r="E386" s="70">
        <v>42327</v>
      </c>
      <c r="F386" s="62" t="s">
        <v>387</v>
      </c>
      <c r="G386" s="19" t="s">
        <v>229</v>
      </c>
      <c r="H386" s="200" t="s">
        <v>97</v>
      </c>
      <c r="I386" s="57" t="s">
        <v>231</v>
      </c>
      <c r="J386" s="15">
        <v>24000</v>
      </c>
      <c r="K386" s="15"/>
      <c r="L386" s="15">
        <f t="shared" ref="L386" si="56">ROUND(J386*K386,0)</f>
        <v>0</v>
      </c>
      <c r="M386" s="15">
        <v>21983</v>
      </c>
      <c r="N386" s="15">
        <f t="shared" ref="N386" si="57">ROUND(J386*M386,0)</f>
        <v>527592000</v>
      </c>
      <c r="O386" s="15" t="str">
        <f>IF(AND(A386='BANG KE NL'!$M$11,TH!C386="NL",LEFT(D386,1)="N"),"x","")</f>
        <v/>
      </c>
    </row>
    <row r="387" spans="1:15" hidden="1">
      <c r="A387" s="24">
        <f t="shared" si="37"/>
        <v>11</v>
      </c>
      <c r="B387" s="176" t="str">
        <f>IF(AND(MONTH(E387)='IN-NX'!$J$5,'IN-NX'!$D$7=(D387&amp;"/"&amp;C387)),"x","")</f>
        <v/>
      </c>
      <c r="C387" s="173" t="s">
        <v>226</v>
      </c>
      <c r="D387" s="173" t="s">
        <v>270</v>
      </c>
      <c r="E387" s="70">
        <v>42334</v>
      </c>
      <c r="F387" s="62" t="s">
        <v>387</v>
      </c>
      <c r="G387" s="19" t="s">
        <v>229</v>
      </c>
      <c r="H387" s="200" t="s">
        <v>97</v>
      </c>
      <c r="I387" s="57" t="s">
        <v>231</v>
      </c>
      <c r="J387" s="15">
        <v>24000</v>
      </c>
      <c r="K387" s="15"/>
      <c r="L387" s="15">
        <f t="shared" si="38"/>
        <v>0</v>
      </c>
      <c r="M387" s="15">
        <v>20917</v>
      </c>
      <c r="N387" s="15">
        <f t="shared" si="39"/>
        <v>502008000</v>
      </c>
      <c r="O387" s="15" t="str">
        <f>IF(AND(A387='BANG KE NL'!$M$11,TH!C387="NL",LEFT(D387,1)="N"),"x","")</f>
        <v/>
      </c>
    </row>
    <row r="388" spans="1:15" hidden="1">
      <c r="A388" s="24">
        <f t="shared" si="37"/>
        <v>12</v>
      </c>
      <c r="B388" s="176" t="str">
        <f>IF(AND(MONTH(E388)='IN-NX'!$J$5,'IN-NX'!$D$7=(D388&amp;"/"&amp;C388)),"x","")</f>
        <v/>
      </c>
      <c r="C388" s="173" t="s">
        <v>226</v>
      </c>
      <c r="D388" s="173" t="s">
        <v>214</v>
      </c>
      <c r="E388" s="70">
        <v>42339</v>
      </c>
      <c r="F388" s="62" t="s">
        <v>42</v>
      </c>
      <c r="G388" s="19" t="s">
        <v>167</v>
      </c>
      <c r="H388" s="200" t="s">
        <v>231</v>
      </c>
      <c r="I388" s="57" t="s">
        <v>124</v>
      </c>
      <c r="J388" s="15">
        <v>29500</v>
      </c>
      <c r="K388" s="15">
        <v>6480</v>
      </c>
      <c r="L388" s="15">
        <f t="shared" si="38"/>
        <v>191160000</v>
      </c>
      <c r="M388" s="15"/>
      <c r="N388" s="15">
        <f t="shared" si="39"/>
        <v>0</v>
      </c>
      <c r="O388" s="15" t="str">
        <f>IF(AND(A388='BANG KE NL'!$M$11,TH!C388="NL",LEFT(D388,1)="N"),"x","")</f>
        <v>x</v>
      </c>
    </row>
    <row r="389" spans="1:15" hidden="1">
      <c r="A389" s="24">
        <f t="shared" si="37"/>
        <v>12</v>
      </c>
      <c r="B389" s="176" t="str">
        <f>IF(AND(MONTH(E389)='IN-NX'!$J$5,'IN-NX'!$D$7=(D389&amp;"/"&amp;C389)),"x","")</f>
        <v/>
      </c>
      <c r="C389" s="173" t="s">
        <v>226</v>
      </c>
      <c r="D389" s="173" t="s">
        <v>215</v>
      </c>
      <c r="E389" s="70">
        <v>42339</v>
      </c>
      <c r="F389" s="62" t="s">
        <v>42</v>
      </c>
      <c r="G389" s="19" t="s">
        <v>173</v>
      </c>
      <c r="H389" s="200" t="s">
        <v>231</v>
      </c>
      <c r="I389" s="57" t="s">
        <v>124</v>
      </c>
      <c r="J389" s="15">
        <v>29500</v>
      </c>
      <c r="K389" s="15">
        <v>5940</v>
      </c>
      <c r="L389" s="15">
        <f t="shared" si="38"/>
        <v>175230000</v>
      </c>
      <c r="M389" s="15"/>
      <c r="N389" s="15">
        <f t="shared" si="39"/>
        <v>0</v>
      </c>
      <c r="O389" s="15" t="str">
        <f>IF(AND(A389='BANG KE NL'!$M$11,TH!C389="NL",LEFT(D389,1)="N"),"x","")</f>
        <v>x</v>
      </c>
    </row>
    <row r="390" spans="1:15" hidden="1">
      <c r="A390" s="24">
        <f t="shared" ref="A390" si="58">IF(E390&lt;&gt;"",MONTH(E390),"")</f>
        <v>12</v>
      </c>
      <c r="B390" s="176" t="str">
        <f>IF(AND(MONTH(E390)='IN-NX'!$J$5,'IN-NX'!$D$7=(D390&amp;"/"&amp;C390)),"x","")</f>
        <v/>
      </c>
      <c r="C390" s="173" t="s">
        <v>226</v>
      </c>
      <c r="D390" s="173" t="s">
        <v>216</v>
      </c>
      <c r="E390" s="70">
        <v>42339</v>
      </c>
      <c r="F390" s="62" t="s">
        <v>42</v>
      </c>
      <c r="G390" s="19" t="s">
        <v>195</v>
      </c>
      <c r="H390" s="200" t="s">
        <v>231</v>
      </c>
      <c r="I390" s="57" t="s">
        <v>124</v>
      </c>
      <c r="J390" s="15">
        <v>29500</v>
      </c>
      <c r="K390" s="15">
        <v>5867</v>
      </c>
      <c r="L390" s="15">
        <f t="shared" ref="L390" si="59">ROUND(J390*K390,0)</f>
        <v>173076500</v>
      </c>
      <c r="M390" s="15"/>
      <c r="N390" s="15">
        <f t="shared" ref="N390" si="60">ROUND(J390*M390,0)</f>
        <v>0</v>
      </c>
      <c r="O390" s="15" t="str">
        <f>IF(AND(A390='BANG KE NL'!$M$11,TH!C390="NL",LEFT(D390,1)="N"),"x","")</f>
        <v>x</v>
      </c>
    </row>
    <row r="391" spans="1:15" hidden="1">
      <c r="A391" s="24">
        <f t="shared" si="37"/>
        <v>12</v>
      </c>
      <c r="B391" s="176" t="str">
        <f>IF(AND(MONTH(E391)='IN-NX'!$J$5,'IN-NX'!$D$7=(D391&amp;"/"&amp;C391)),"x","")</f>
        <v/>
      </c>
      <c r="C391" s="173" t="s">
        <v>226</v>
      </c>
      <c r="D391" s="173" t="s">
        <v>217</v>
      </c>
      <c r="E391" s="70">
        <v>42339</v>
      </c>
      <c r="F391" s="62" t="s">
        <v>42</v>
      </c>
      <c r="G391" s="19" t="s">
        <v>192</v>
      </c>
      <c r="H391" s="200" t="s">
        <v>231</v>
      </c>
      <c r="I391" s="57" t="s">
        <v>124</v>
      </c>
      <c r="J391" s="15">
        <v>29500</v>
      </c>
      <c r="K391" s="15">
        <v>6640</v>
      </c>
      <c r="L391" s="15">
        <f t="shared" si="38"/>
        <v>195880000</v>
      </c>
      <c r="M391" s="15"/>
      <c r="N391" s="15">
        <f t="shared" si="39"/>
        <v>0</v>
      </c>
      <c r="O391" s="15" t="str">
        <f>IF(AND(A391='BANG KE NL'!$M$11,TH!C391="NL",LEFT(D391,1)="N"),"x","")</f>
        <v>x</v>
      </c>
    </row>
    <row r="392" spans="1:15" hidden="1">
      <c r="A392" s="24">
        <f t="shared" si="37"/>
        <v>12</v>
      </c>
      <c r="B392" s="176" t="str">
        <f>IF(AND(MONTH(E392)='IN-NX'!$J$5,'IN-NX'!$D$7=(D392&amp;"/"&amp;C392)),"x","")</f>
        <v/>
      </c>
      <c r="C392" s="173" t="s">
        <v>226</v>
      </c>
      <c r="D392" s="173" t="s">
        <v>218</v>
      </c>
      <c r="E392" s="70">
        <v>42343</v>
      </c>
      <c r="F392" s="62" t="s">
        <v>42</v>
      </c>
      <c r="G392" s="19" t="s">
        <v>193</v>
      </c>
      <c r="H392" s="200" t="s">
        <v>231</v>
      </c>
      <c r="I392" s="57" t="s">
        <v>124</v>
      </c>
      <c r="J392" s="15">
        <v>29500</v>
      </c>
      <c r="K392" s="15">
        <v>5985</v>
      </c>
      <c r="L392" s="15">
        <f t="shared" si="38"/>
        <v>176557500</v>
      </c>
      <c r="M392" s="15"/>
      <c r="N392" s="15">
        <f t="shared" si="39"/>
        <v>0</v>
      </c>
      <c r="O392" s="15" t="str">
        <f>IF(AND(A392='BANG KE NL'!$M$11,TH!C392="NL",LEFT(D392,1)="N"),"x","")</f>
        <v>x</v>
      </c>
    </row>
    <row r="393" spans="1:15" hidden="1">
      <c r="A393" s="24">
        <f t="shared" si="37"/>
        <v>12</v>
      </c>
      <c r="B393" s="176" t="str">
        <f>IF(AND(MONTH(E393)='IN-NX'!$J$5,'IN-NX'!$D$7=(D393&amp;"/"&amp;C393)),"x","")</f>
        <v/>
      </c>
      <c r="C393" s="173" t="s">
        <v>226</v>
      </c>
      <c r="D393" s="173" t="s">
        <v>219</v>
      </c>
      <c r="E393" s="70">
        <v>42343</v>
      </c>
      <c r="F393" s="62" t="s">
        <v>42</v>
      </c>
      <c r="G393" s="19" t="s">
        <v>194</v>
      </c>
      <c r="H393" s="200" t="s">
        <v>231</v>
      </c>
      <c r="I393" s="57" t="s">
        <v>124</v>
      </c>
      <c r="J393" s="15">
        <v>29500</v>
      </c>
      <c r="K393" s="15">
        <v>6680</v>
      </c>
      <c r="L393" s="15">
        <f t="shared" si="38"/>
        <v>197060000</v>
      </c>
      <c r="M393" s="15"/>
      <c r="N393" s="15">
        <f t="shared" si="39"/>
        <v>0</v>
      </c>
      <c r="O393" s="15" t="str">
        <f>IF(AND(A393='BANG KE NL'!$M$11,TH!C393="NL",LEFT(D393,1)="N"),"x","")</f>
        <v>x</v>
      </c>
    </row>
    <row r="394" spans="1:15" hidden="1">
      <c r="A394" s="24">
        <f t="shared" si="37"/>
        <v>12</v>
      </c>
      <c r="B394" s="176" t="str">
        <f>IF(AND(MONTH(E394)='IN-NX'!$J$5,'IN-NX'!$D$7=(D394&amp;"/"&amp;C394)),"x","")</f>
        <v/>
      </c>
      <c r="C394" s="173" t="s">
        <v>226</v>
      </c>
      <c r="D394" s="173" t="s">
        <v>232</v>
      </c>
      <c r="E394" s="70">
        <v>42343</v>
      </c>
      <c r="F394" s="62" t="s">
        <v>42</v>
      </c>
      <c r="G394" s="19" t="s">
        <v>195</v>
      </c>
      <c r="H394" s="200" t="s">
        <v>231</v>
      </c>
      <c r="I394" s="57" t="s">
        <v>124</v>
      </c>
      <c r="J394" s="15">
        <v>29500</v>
      </c>
      <c r="K394" s="15">
        <f>44310-SUM(K388:K393)</f>
        <v>6718</v>
      </c>
      <c r="L394" s="15">
        <f t="shared" si="38"/>
        <v>198181000</v>
      </c>
      <c r="M394" s="15"/>
      <c r="N394" s="15">
        <f t="shared" si="39"/>
        <v>0</v>
      </c>
      <c r="O394" s="15" t="str">
        <f>IF(AND(A394='BANG KE NL'!$M$11,TH!C394="NL",LEFT(D394,1)="N"),"x","")</f>
        <v>x</v>
      </c>
    </row>
    <row r="395" spans="1:15" hidden="1">
      <c r="A395" s="24">
        <f t="shared" si="37"/>
        <v>12</v>
      </c>
      <c r="B395" s="176" t="str">
        <f>IF(AND(MONTH(E395)='IN-NX'!$J$5,'IN-NX'!$D$7=(D395&amp;"/"&amp;C395)),"x","")</f>
        <v/>
      </c>
      <c r="C395" s="173" t="s">
        <v>226</v>
      </c>
      <c r="D395" s="173" t="s">
        <v>220</v>
      </c>
      <c r="E395" s="70">
        <v>42339</v>
      </c>
      <c r="F395" s="62" t="s">
        <v>42</v>
      </c>
      <c r="G395" s="19" t="s">
        <v>229</v>
      </c>
      <c r="H395" s="200" t="s">
        <v>97</v>
      </c>
      <c r="I395" s="57" t="s">
        <v>231</v>
      </c>
      <c r="J395" s="15">
        <v>29500</v>
      </c>
      <c r="K395" s="15"/>
      <c r="L395" s="15">
        <f t="shared" si="38"/>
        <v>0</v>
      </c>
      <c r="M395" s="15">
        <v>24927</v>
      </c>
      <c r="N395" s="15">
        <f t="shared" si="39"/>
        <v>735346500</v>
      </c>
      <c r="O395" s="15" t="str">
        <f>IF(AND(A395='BANG KE NL'!$M$11,TH!C395="NL",LEFT(D395,1)="N"),"x","")</f>
        <v/>
      </c>
    </row>
    <row r="396" spans="1:15" hidden="1">
      <c r="A396" s="24">
        <f t="shared" ref="A396:A421" si="61">IF(E396&lt;&gt;"",MONTH(E396),"")</f>
        <v>12</v>
      </c>
      <c r="B396" s="176" t="str">
        <f>IF(AND(MONTH(E396)='IN-NX'!$J$5,'IN-NX'!$D$7=(D396&amp;"/"&amp;C396)),"x","")</f>
        <v/>
      </c>
      <c r="C396" s="173" t="s">
        <v>226</v>
      </c>
      <c r="D396" s="173" t="s">
        <v>221</v>
      </c>
      <c r="E396" s="70">
        <v>42343</v>
      </c>
      <c r="F396" s="62" t="s">
        <v>42</v>
      </c>
      <c r="G396" s="19" t="s">
        <v>229</v>
      </c>
      <c r="H396" s="200" t="s">
        <v>97</v>
      </c>
      <c r="I396" s="57" t="s">
        <v>231</v>
      </c>
      <c r="J396" s="15">
        <v>29500</v>
      </c>
      <c r="K396" s="15"/>
      <c r="L396" s="15">
        <f t="shared" si="38"/>
        <v>0</v>
      </c>
      <c r="M396" s="15">
        <v>19383</v>
      </c>
      <c r="N396" s="15">
        <f t="shared" si="39"/>
        <v>571798500</v>
      </c>
      <c r="O396" s="15" t="str">
        <f>IF(AND(A396='BANG KE NL'!$M$11,TH!C396="NL",LEFT(D396,1)="N"),"x","")</f>
        <v/>
      </c>
    </row>
    <row r="397" spans="1:15" hidden="1">
      <c r="A397" s="24">
        <f t="shared" si="61"/>
        <v>12</v>
      </c>
      <c r="B397" s="176" t="str">
        <f>IF(AND(MONTH(E397)='IN-NX'!$J$5,'IN-NX'!$D$7=(D397&amp;"/"&amp;C397)),"x","")</f>
        <v/>
      </c>
      <c r="C397" s="173" t="s">
        <v>226</v>
      </c>
      <c r="D397" s="173" t="s">
        <v>234</v>
      </c>
      <c r="E397" s="70">
        <v>42344</v>
      </c>
      <c r="F397" s="62" t="s">
        <v>68</v>
      </c>
      <c r="G397" s="19" t="s">
        <v>181</v>
      </c>
      <c r="H397" s="200" t="s">
        <v>231</v>
      </c>
      <c r="I397" s="57" t="s">
        <v>124</v>
      </c>
      <c r="J397" s="15">
        <v>17500</v>
      </c>
      <c r="K397" s="15">
        <v>5012</v>
      </c>
      <c r="L397" s="15">
        <f t="shared" si="38"/>
        <v>87710000</v>
      </c>
      <c r="M397" s="15"/>
      <c r="N397" s="15">
        <f t="shared" si="39"/>
        <v>0</v>
      </c>
      <c r="O397" s="15" t="str">
        <f>IF(AND(A397='BANG KE NL'!$M$11,TH!C397="NL",LEFT(D397,1)="N"),"x","")</f>
        <v>x</v>
      </c>
    </row>
    <row r="398" spans="1:15" hidden="1">
      <c r="A398" s="24">
        <f t="shared" si="61"/>
        <v>12</v>
      </c>
      <c r="B398" s="176" t="str">
        <f>IF(AND(MONTH(E398)='IN-NX'!$J$5,'IN-NX'!$D$7=(D398&amp;"/"&amp;C398)),"x","")</f>
        <v/>
      </c>
      <c r="C398" s="173" t="s">
        <v>226</v>
      </c>
      <c r="D398" s="173" t="s">
        <v>235</v>
      </c>
      <c r="E398" s="70">
        <v>42344</v>
      </c>
      <c r="F398" s="62" t="s">
        <v>68</v>
      </c>
      <c r="G398" s="19" t="s">
        <v>176</v>
      </c>
      <c r="H398" s="200" t="s">
        <v>231</v>
      </c>
      <c r="I398" s="57" t="s">
        <v>124</v>
      </c>
      <c r="J398" s="15">
        <v>17500</v>
      </c>
      <c r="K398" s="15">
        <f>10125-SUM(K397)</f>
        <v>5113</v>
      </c>
      <c r="L398" s="15">
        <f t="shared" si="38"/>
        <v>89477500</v>
      </c>
      <c r="M398" s="15"/>
      <c r="N398" s="15">
        <f t="shared" si="39"/>
        <v>0</v>
      </c>
      <c r="O398" s="15" t="str">
        <f>IF(AND(A398='BANG KE NL'!$M$11,TH!C398="NL",LEFT(D398,1)="N"),"x","")</f>
        <v>x</v>
      </c>
    </row>
    <row r="399" spans="1:15" hidden="1">
      <c r="A399" s="24">
        <f t="shared" si="61"/>
        <v>12</v>
      </c>
      <c r="B399" s="176" t="str">
        <f>IF(AND(MONTH(E399)='IN-NX'!$J$5,'IN-NX'!$D$7=(D399&amp;"/"&amp;C399)),"x","")</f>
        <v/>
      </c>
      <c r="C399" s="173" t="s">
        <v>226</v>
      </c>
      <c r="D399" s="173" t="s">
        <v>222</v>
      </c>
      <c r="E399" s="70">
        <v>42344</v>
      </c>
      <c r="F399" s="62" t="s">
        <v>68</v>
      </c>
      <c r="G399" s="19" t="s">
        <v>229</v>
      </c>
      <c r="H399" s="200" t="s">
        <v>97</v>
      </c>
      <c r="I399" s="57" t="s">
        <v>231</v>
      </c>
      <c r="J399" s="15">
        <v>17500</v>
      </c>
      <c r="K399" s="15"/>
      <c r="L399" s="15">
        <f t="shared" si="38"/>
        <v>0</v>
      </c>
      <c r="M399" s="15">
        <v>10125</v>
      </c>
      <c r="N399" s="15">
        <f t="shared" si="39"/>
        <v>177187500</v>
      </c>
      <c r="O399" s="15" t="str">
        <f>IF(AND(A399='BANG KE NL'!$M$11,TH!C399="NL",LEFT(D399,1)="N"),"x","")</f>
        <v/>
      </c>
    </row>
    <row r="400" spans="1:15" hidden="1">
      <c r="A400" s="24">
        <f t="shared" si="61"/>
        <v>12</v>
      </c>
      <c r="B400" s="176" t="str">
        <f>IF(AND(MONTH(E400)='IN-NX'!$J$5,'IN-NX'!$D$7=(D400&amp;"/"&amp;C400)),"x","")</f>
        <v/>
      </c>
      <c r="C400" s="173" t="s">
        <v>226</v>
      </c>
      <c r="D400" s="173" t="s">
        <v>236</v>
      </c>
      <c r="E400" s="70">
        <v>42350</v>
      </c>
      <c r="F400" s="62" t="s">
        <v>55</v>
      </c>
      <c r="G400" s="19" t="s">
        <v>204</v>
      </c>
      <c r="H400" s="200" t="s">
        <v>231</v>
      </c>
      <c r="I400" s="57" t="s">
        <v>124</v>
      </c>
      <c r="J400" s="15">
        <v>11000</v>
      </c>
      <c r="K400" s="15">
        <v>7019</v>
      </c>
      <c r="L400" s="15">
        <f t="shared" si="38"/>
        <v>77209000</v>
      </c>
      <c r="M400" s="15"/>
      <c r="N400" s="15">
        <f t="shared" si="39"/>
        <v>0</v>
      </c>
      <c r="O400" s="15" t="str">
        <f>IF(AND(A400='BANG KE NL'!$M$11,TH!C400="NL",LEFT(D400,1)="N"),"x","")</f>
        <v>x</v>
      </c>
    </row>
    <row r="401" spans="1:15" hidden="1">
      <c r="A401" s="24">
        <f t="shared" si="61"/>
        <v>12</v>
      </c>
      <c r="B401" s="176" t="str">
        <f>IF(AND(MONTH(E401)='IN-NX'!$J$5,'IN-NX'!$D$7=(D401&amp;"/"&amp;C401)),"x","")</f>
        <v/>
      </c>
      <c r="C401" s="173" t="s">
        <v>226</v>
      </c>
      <c r="D401" s="173" t="s">
        <v>237</v>
      </c>
      <c r="E401" s="70">
        <v>42350</v>
      </c>
      <c r="F401" s="62" t="s">
        <v>55</v>
      </c>
      <c r="G401" s="19" t="s">
        <v>205</v>
      </c>
      <c r="H401" s="200" t="s">
        <v>231</v>
      </c>
      <c r="I401" s="57" t="s">
        <v>124</v>
      </c>
      <c r="J401" s="15">
        <v>11000</v>
      </c>
      <c r="K401" s="15">
        <v>6983</v>
      </c>
      <c r="L401" s="15">
        <f t="shared" si="38"/>
        <v>76813000</v>
      </c>
      <c r="M401" s="15"/>
      <c r="N401" s="15">
        <f t="shared" si="39"/>
        <v>0</v>
      </c>
      <c r="O401" s="15" t="str">
        <f>IF(AND(A401='BANG KE NL'!$M$11,TH!C401="NL",LEFT(D401,1)="N"),"x","")</f>
        <v>x</v>
      </c>
    </row>
    <row r="402" spans="1:15" hidden="1">
      <c r="A402" s="24">
        <f t="shared" si="61"/>
        <v>12</v>
      </c>
      <c r="B402" s="176" t="str">
        <f>IF(AND(MONTH(E402)='IN-NX'!$J$5,'IN-NX'!$D$7=(D402&amp;"/"&amp;C402)),"x","")</f>
        <v/>
      </c>
      <c r="C402" s="173" t="s">
        <v>226</v>
      </c>
      <c r="D402" s="173" t="s">
        <v>238</v>
      </c>
      <c r="E402" s="70">
        <v>42350</v>
      </c>
      <c r="F402" s="62" t="s">
        <v>55</v>
      </c>
      <c r="G402" s="19" t="s">
        <v>206</v>
      </c>
      <c r="H402" s="200" t="s">
        <v>231</v>
      </c>
      <c r="I402" s="57" t="s">
        <v>124</v>
      </c>
      <c r="J402" s="15">
        <v>11000</v>
      </c>
      <c r="K402" s="15">
        <v>6890</v>
      </c>
      <c r="L402" s="15">
        <f t="shared" si="38"/>
        <v>75790000</v>
      </c>
      <c r="M402" s="15"/>
      <c r="N402" s="15">
        <f t="shared" si="39"/>
        <v>0</v>
      </c>
      <c r="O402" s="15" t="str">
        <f>IF(AND(A402='BANG KE NL'!$M$11,TH!C402="NL",LEFT(D402,1)="N"),"x","")</f>
        <v>x</v>
      </c>
    </row>
    <row r="403" spans="1:15" hidden="1">
      <c r="A403" s="24">
        <f t="shared" si="61"/>
        <v>12</v>
      </c>
      <c r="B403" s="176" t="str">
        <f>IF(AND(MONTH(E403)='IN-NX'!$J$5,'IN-NX'!$D$7=(D403&amp;"/"&amp;C403)),"x","")</f>
        <v/>
      </c>
      <c r="C403" s="173" t="s">
        <v>226</v>
      </c>
      <c r="D403" s="173" t="s">
        <v>239</v>
      </c>
      <c r="E403" s="70">
        <v>42350</v>
      </c>
      <c r="F403" s="62" t="s">
        <v>55</v>
      </c>
      <c r="G403" s="19" t="s">
        <v>208</v>
      </c>
      <c r="H403" s="200" t="s">
        <v>231</v>
      </c>
      <c r="I403" s="57" t="s">
        <v>124</v>
      </c>
      <c r="J403" s="15">
        <v>11000</v>
      </c>
      <c r="K403" s="15">
        <v>7430</v>
      </c>
      <c r="L403" s="15">
        <f t="shared" si="38"/>
        <v>81730000</v>
      </c>
      <c r="M403" s="15"/>
      <c r="N403" s="15">
        <f t="shared" si="39"/>
        <v>0</v>
      </c>
      <c r="O403" s="15" t="str">
        <f>IF(AND(A403='BANG KE NL'!$M$11,TH!C403="NL",LEFT(D403,1)="N"),"x","")</f>
        <v>x</v>
      </c>
    </row>
    <row r="404" spans="1:15" hidden="1">
      <c r="A404" s="24">
        <f t="shared" si="61"/>
        <v>12</v>
      </c>
      <c r="B404" s="176" t="str">
        <f>IF(AND(MONTH(E404)='IN-NX'!$J$5,'IN-NX'!$D$7=(D404&amp;"/"&amp;C404)),"x","")</f>
        <v/>
      </c>
      <c r="C404" s="173" t="s">
        <v>226</v>
      </c>
      <c r="D404" s="173" t="s">
        <v>240</v>
      </c>
      <c r="E404" s="70">
        <v>42350</v>
      </c>
      <c r="F404" s="62" t="s">
        <v>55</v>
      </c>
      <c r="G404" s="19" t="s">
        <v>207</v>
      </c>
      <c r="H404" s="200" t="s">
        <v>231</v>
      </c>
      <c r="I404" s="57" t="s">
        <v>124</v>
      </c>
      <c r="J404" s="15">
        <v>11000</v>
      </c>
      <c r="K404" s="15">
        <v>7028</v>
      </c>
      <c r="L404" s="15">
        <f t="shared" si="38"/>
        <v>77308000</v>
      </c>
      <c r="M404" s="15"/>
      <c r="N404" s="15">
        <f t="shared" si="39"/>
        <v>0</v>
      </c>
      <c r="O404" s="15" t="str">
        <f>IF(AND(A404='BANG KE NL'!$M$11,TH!C404="NL",LEFT(D404,1)="N"),"x","")</f>
        <v>x</v>
      </c>
    </row>
    <row r="405" spans="1:15" hidden="1">
      <c r="A405" s="24">
        <f t="shared" si="61"/>
        <v>12</v>
      </c>
      <c r="B405" s="176" t="str">
        <f>IF(AND(MONTH(E405)='IN-NX'!$J$5,'IN-NX'!$D$7=(D405&amp;"/"&amp;C405)),"x","")</f>
        <v/>
      </c>
      <c r="C405" s="173" t="s">
        <v>226</v>
      </c>
      <c r="D405" s="173" t="s">
        <v>241</v>
      </c>
      <c r="E405" s="70">
        <v>42353</v>
      </c>
      <c r="F405" s="62" t="s">
        <v>55</v>
      </c>
      <c r="G405" s="19" t="s">
        <v>202</v>
      </c>
      <c r="H405" s="200" t="s">
        <v>231</v>
      </c>
      <c r="I405" s="57" t="s">
        <v>124</v>
      </c>
      <c r="J405" s="15">
        <v>11000</v>
      </c>
      <c r="K405" s="15">
        <v>7060</v>
      </c>
      <c r="L405" s="15">
        <f t="shared" si="38"/>
        <v>77660000</v>
      </c>
      <c r="M405" s="15"/>
      <c r="N405" s="15">
        <f t="shared" si="39"/>
        <v>0</v>
      </c>
      <c r="O405" s="15" t="str">
        <f>IF(AND(A405='BANG KE NL'!$M$11,TH!C405="NL",LEFT(D405,1)="N"),"x","")</f>
        <v>x</v>
      </c>
    </row>
    <row r="406" spans="1:15" hidden="1">
      <c r="A406" s="24">
        <f t="shared" si="61"/>
        <v>12</v>
      </c>
      <c r="B406" s="176" t="str">
        <f>IF(AND(MONTH(E406)='IN-NX'!$J$5,'IN-NX'!$D$7=(D406&amp;"/"&amp;C406)),"x","")</f>
        <v/>
      </c>
      <c r="C406" s="173" t="s">
        <v>226</v>
      </c>
      <c r="D406" s="173" t="s">
        <v>242</v>
      </c>
      <c r="E406" s="70">
        <v>42353</v>
      </c>
      <c r="F406" s="62" t="s">
        <v>55</v>
      </c>
      <c r="G406" s="19" t="s">
        <v>210</v>
      </c>
      <c r="H406" s="200" t="s">
        <v>231</v>
      </c>
      <c r="I406" s="57" t="s">
        <v>124</v>
      </c>
      <c r="J406" s="15">
        <v>11000</v>
      </c>
      <c r="K406" s="15">
        <v>7083</v>
      </c>
      <c r="L406" s="15">
        <f t="shared" si="38"/>
        <v>77913000</v>
      </c>
      <c r="M406" s="15"/>
      <c r="N406" s="15">
        <f t="shared" si="39"/>
        <v>0</v>
      </c>
      <c r="O406" s="15" t="str">
        <f>IF(AND(A406='BANG KE NL'!$M$11,TH!C406="NL",LEFT(D406,1)="N"),"x","")</f>
        <v>x</v>
      </c>
    </row>
    <row r="407" spans="1:15" hidden="1">
      <c r="A407" s="24">
        <f t="shared" si="61"/>
        <v>12</v>
      </c>
      <c r="B407" s="176" t="str">
        <f>IF(AND(MONTH(E407)='IN-NX'!$J$5,'IN-NX'!$D$7=(D407&amp;"/"&amp;C407)),"x","")</f>
        <v/>
      </c>
      <c r="C407" s="173" t="s">
        <v>226</v>
      </c>
      <c r="D407" s="173" t="s">
        <v>243</v>
      </c>
      <c r="E407" s="70">
        <v>42353</v>
      </c>
      <c r="F407" s="62" t="s">
        <v>55</v>
      </c>
      <c r="G407" s="19" t="s">
        <v>205</v>
      </c>
      <c r="H407" s="200" t="s">
        <v>231</v>
      </c>
      <c r="I407" s="57" t="s">
        <v>124</v>
      </c>
      <c r="J407" s="15">
        <v>11000</v>
      </c>
      <c r="K407" s="15">
        <v>6340</v>
      </c>
      <c r="L407" s="15">
        <f t="shared" si="38"/>
        <v>69740000</v>
      </c>
      <c r="M407" s="15"/>
      <c r="N407" s="15">
        <f t="shared" si="39"/>
        <v>0</v>
      </c>
      <c r="O407" s="15" t="str">
        <f>IF(AND(A407='BANG KE NL'!$M$11,TH!C407="NL",LEFT(D407,1)="N"),"x","")</f>
        <v>x</v>
      </c>
    </row>
    <row r="408" spans="1:15" hidden="1">
      <c r="A408" s="24">
        <f t="shared" si="61"/>
        <v>12</v>
      </c>
      <c r="B408" s="176" t="str">
        <f>IF(AND(MONTH(E408)='IN-NX'!$J$5,'IN-NX'!$D$7=(D408&amp;"/"&amp;C408)),"x","")</f>
        <v/>
      </c>
      <c r="C408" s="173" t="s">
        <v>226</v>
      </c>
      <c r="D408" s="173" t="s">
        <v>244</v>
      </c>
      <c r="E408" s="70">
        <v>42353</v>
      </c>
      <c r="F408" s="62" t="s">
        <v>55</v>
      </c>
      <c r="G408" s="19" t="s">
        <v>206</v>
      </c>
      <c r="H408" s="200" t="s">
        <v>231</v>
      </c>
      <c r="I408" s="57" t="s">
        <v>124</v>
      </c>
      <c r="J408" s="15">
        <v>11000</v>
      </c>
      <c r="K408" s="15">
        <v>7120</v>
      </c>
      <c r="L408" s="15">
        <f t="shared" si="38"/>
        <v>78320000</v>
      </c>
      <c r="M408" s="15"/>
      <c r="N408" s="15">
        <f t="shared" si="39"/>
        <v>0</v>
      </c>
      <c r="O408" s="15" t="str">
        <f>IF(AND(A408='BANG KE NL'!$M$11,TH!C408="NL",LEFT(D408,1)="N"),"x","")</f>
        <v>x</v>
      </c>
    </row>
    <row r="409" spans="1:15" hidden="1">
      <c r="A409" s="24">
        <f t="shared" si="61"/>
        <v>12</v>
      </c>
      <c r="B409" s="176" t="str">
        <f>IF(AND(MONTH(E409)='IN-NX'!$J$5,'IN-NX'!$D$7=(D409&amp;"/"&amp;C409)),"x","")</f>
        <v/>
      </c>
      <c r="C409" s="173" t="s">
        <v>226</v>
      </c>
      <c r="D409" s="173" t="s">
        <v>245</v>
      </c>
      <c r="E409" s="70">
        <v>42353</v>
      </c>
      <c r="F409" s="62" t="s">
        <v>55</v>
      </c>
      <c r="G409" s="19" t="s">
        <v>204</v>
      </c>
      <c r="H409" s="200" t="s">
        <v>231</v>
      </c>
      <c r="I409" s="57" t="s">
        <v>124</v>
      </c>
      <c r="J409" s="15">
        <v>11000</v>
      </c>
      <c r="K409" s="15">
        <v>7250</v>
      </c>
      <c r="L409" s="15">
        <f t="shared" si="38"/>
        <v>79750000</v>
      </c>
      <c r="M409" s="15"/>
      <c r="N409" s="15">
        <f t="shared" si="39"/>
        <v>0</v>
      </c>
      <c r="O409" s="15" t="str">
        <f>IF(AND(A409='BANG KE NL'!$M$11,TH!C409="NL",LEFT(D409,1)="N"),"x","")</f>
        <v>x</v>
      </c>
    </row>
    <row r="410" spans="1:15" hidden="1">
      <c r="A410" s="24">
        <f t="shared" si="61"/>
        <v>12</v>
      </c>
      <c r="B410" s="176" t="str">
        <f>IF(AND(MONTH(E410)='IN-NX'!$J$5,'IN-NX'!$D$7=(D410&amp;"/"&amp;C410)),"x","")</f>
        <v/>
      </c>
      <c r="C410" s="173" t="s">
        <v>226</v>
      </c>
      <c r="D410" s="173" t="s">
        <v>246</v>
      </c>
      <c r="E410" s="70">
        <v>42357</v>
      </c>
      <c r="F410" s="62" t="s">
        <v>55</v>
      </c>
      <c r="G410" s="19" t="s">
        <v>204</v>
      </c>
      <c r="H410" s="200" t="s">
        <v>231</v>
      </c>
      <c r="I410" s="57" t="s">
        <v>124</v>
      </c>
      <c r="J410" s="15">
        <v>11000</v>
      </c>
      <c r="K410" s="15">
        <v>7256</v>
      </c>
      <c r="L410" s="15">
        <f t="shared" si="38"/>
        <v>79816000</v>
      </c>
      <c r="M410" s="15"/>
      <c r="N410" s="15">
        <f t="shared" si="39"/>
        <v>0</v>
      </c>
      <c r="O410" s="15" t="str">
        <f>IF(AND(A410='BANG KE NL'!$M$11,TH!C410="NL",LEFT(D410,1)="N"),"x","")</f>
        <v>x</v>
      </c>
    </row>
    <row r="411" spans="1:15" hidden="1">
      <c r="A411" s="24">
        <f t="shared" si="61"/>
        <v>12</v>
      </c>
      <c r="B411" s="176" t="str">
        <f>IF(AND(MONTH(E411)='IN-NX'!$J$5,'IN-NX'!$D$7=(D411&amp;"/"&amp;C411)),"x","")</f>
        <v/>
      </c>
      <c r="C411" s="173" t="s">
        <v>226</v>
      </c>
      <c r="D411" s="173" t="s">
        <v>247</v>
      </c>
      <c r="E411" s="70">
        <v>42357</v>
      </c>
      <c r="F411" s="62" t="s">
        <v>55</v>
      </c>
      <c r="G411" s="19" t="s">
        <v>205</v>
      </c>
      <c r="H411" s="200" t="s">
        <v>231</v>
      </c>
      <c r="I411" s="57" t="s">
        <v>124</v>
      </c>
      <c r="J411" s="15">
        <v>11000</v>
      </c>
      <c r="K411" s="15">
        <v>7780</v>
      </c>
      <c r="L411" s="15">
        <f t="shared" si="38"/>
        <v>85580000</v>
      </c>
      <c r="M411" s="15"/>
      <c r="N411" s="15">
        <f t="shared" si="39"/>
        <v>0</v>
      </c>
      <c r="O411" s="15" t="str">
        <f>IF(AND(A411='BANG KE NL'!$M$11,TH!C411="NL",LEFT(D411,1)="N"),"x","")</f>
        <v>x</v>
      </c>
    </row>
    <row r="412" spans="1:15" hidden="1">
      <c r="A412" s="24">
        <f t="shared" si="61"/>
        <v>12</v>
      </c>
      <c r="B412" s="176" t="str">
        <f>IF(AND(MONTH(E412)='IN-NX'!$J$5,'IN-NX'!$D$7=(D412&amp;"/"&amp;C412)),"x","")</f>
        <v/>
      </c>
      <c r="C412" s="173" t="s">
        <v>226</v>
      </c>
      <c r="D412" s="173" t="s">
        <v>248</v>
      </c>
      <c r="E412" s="70">
        <v>42357</v>
      </c>
      <c r="F412" s="62" t="s">
        <v>55</v>
      </c>
      <c r="G412" s="19" t="s">
        <v>206</v>
      </c>
      <c r="H412" s="200" t="s">
        <v>231</v>
      </c>
      <c r="I412" s="57" t="s">
        <v>124</v>
      </c>
      <c r="J412" s="15">
        <v>11000</v>
      </c>
      <c r="K412" s="15">
        <v>7960</v>
      </c>
      <c r="L412" s="15">
        <f t="shared" si="38"/>
        <v>87560000</v>
      </c>
      <c r="M412" s="15"/>
      <c r="N412" s="15">
        <f t="shared" si="39"/>
        <v>0</v>
      </c>
      <c r="O412" s="15" t="str">
        <f>IF(AND(A412='BANG KE NL'!$M$11,TH!C412="NL",LEFT(D412,1)="N"),"x","")</f>
        <v>x</v>
      </c>
    </row>
    <row r="413" spans="1:15" hidden="1">
      <c r="A413" s="24">
        <f t="shared" si="61"/>
        <v>12</v>
      </c>
      <c r="B413" s="176" t="str">
        <f>IF(AND(MONTH(E413)='IN-NX'!$J$5,'IN-NX'!$D$7=(D413&amp;"/"&amp;C413)),"x","")</f>
        <v/>
      </c>
      <c r="C413" s="173" t="s">
        <v>226</v>
      </c>
      <c r="D413" s="173" t="s">
        <v>249</v>
      </c>
      <c r="E413" s="70">
        <v>42357</v>
      </c>
      <c r="F413" s="62" t="s">
        <v>55</v>
      </c>
      <c r="G413" s="19" t="s">
        <v>207</v>
      </c>
      <c r="H413" s="200" t="s">
        <v>231</v>
      </c>
      <c r="I413" s="57" t="s">
        <v>124</v>
      </c>
      <c r="J413" s="15">
        <v>11000</v>
      </c>
      <c r="K413" s="15">
        <v>7840</v>
      </c>
      <c r="L413" s="15">
        <f t="shared" si="38"/>
        <v>86240000</v>
      </c>
      <c r="M413" s="15"/>
      <c r="N413" s="15">
        <f t="shared" si="39"/>
        <v>0</v>
      </c>
      <c r="O413" s="15" t="str">
        <f>IF(AND(A413='BANG KE NL'!$M$11,TH!C413="NL",LEFT(D413,1)="N"),"x","")</f>
        <v>x</v>
      </c>
    </row>
    <row r="414" spans="1:15" hidden="1">
      <c r="A414" s="24">
        <f t="shared" si="61"/>
        <v>12</v>
      </c>
      <c r="B414" s="176" t="str">
        <f>IF(AND(MONTH(E414)='IN-NX'!$J$5,'IN-NX'!$D$7=(D414&amp;"/"&amp;C414)),"x","")</f>
        <v/>
      </c>
      <c r="C414" s="173" t="s">
        <v>226</v>
      </c>
      <c r="D414" s="173" t="s">
        <v>250</v>
      </c>
      <c r="E414" s="70">
        <v>42360</v>
      </c>
      <c r="F414" s="62" t="s">
        <v>55</v>
      </c>
      <c r="G414" s="19" t="s">
        <v>202</v>
      </c>
      <c r="H414" s="200" t="s">
        <v>231</v>
      </c>
      <c r="I414" s="57" t="s">
        <v>124</v>
      </c>
      <c r="J414" s="15">
        <v>11000</v>
      </c>
      <c r="K414" s="15">
        <v>7980</v>
      </c>
      <c r="L414" s="15">
        <f t="shared" si="38"/>
        <v>87780000</v>
      </c>
      <c r="M414" s="15"/>
      <c r="N414" s="15">
        <f t="shared" si="39"/>
        <v>0</v>
      </c>
      <c r="O414" s="15" t="str">
        <f>IF(AND(A414='BANG KE NL'!$M$11,TH!C414="NL",LEFT(D414,1)="N"),"x","")</f>
        <v>x</v>
      </c>
    </row>
    <row r="415" spans="1:15" hidden="1">
      <c r="A415" s="24">
        <f t="shared" si="61"/>
        <v>12</v>
      </c>
      <c r="B415" s="176" t="str">
        <f>IF(AND(MONTH(E415)='IN-NX'!$J$5,'IN-NX'!$D$7=(D415&amp;"/"&amp;C415)),"x","")</f>
        <v/>
      </c>
      <c r="C415" s="173" t="s">
        <v>226</v>
      </c>
      <c r="D415" s="173" t="s">
        <v>251</v>
      </c>
      <c r="E415" s="70">
        <v>42360</v>
      </c>
      <c r="F415" s="62" t="s">
        <v>55</v>
      </c>
      <c r="G415" s="19" t="s">
        <v>210</v>
      </c>
      <c r="H415" s="200" t="s">
        <v>231</v>
      </c>
      <c r="I415" s="57" t="s">
        <v>124</v>
      </c>
      <c r="J415" s="15">
        <v>11000</v>
      </c>
      <c r="K415" s="15">
        <v>7790</v>
      </c>
      <c r="L415" s="15">
        <f t="shared" si="38"/>
        <v>85690000</v>
      </c>
      <c r="M415" s="15"/>
      <c r="N415" s="15">
        <f t="shared" si="39"/>
        <v>0</v>
      </c>
      <c r="O415" s="15" t="str">
        <f>IF(AND(A415='BANG KE NL'!$M$11,TH!C415="NL",LEFT(D415,1)="N"),"x","")</f>
        <v>x</v>
      </c>
    </row>
    <row r="416" spans="1:15" hidden="1">
      <c r="A416" s="24">
        <f t="shared" si="61"/>
        <v>12</v>
      </c>
      <c r="B416" s="176" t="str">
        <f>IF(AND(MONTH(E416)='IN-NX'!$J$5,'IN-NX'!$D$7=(D416&amp;"/"&amp;C416)),"x","")</f>
        <v/>
      </c>
      <c r="C416" s="173" t="s">
        <v>226</v>
      </c>
      <c r="D416" s="173" t="s">
        <v>252</v>
      </c>
      <c r="E416" s="70">
        <v>42360</v>
      </c>
      <c r="F416" s="62" t="s">
        <v>55</v>
      </c>
      <c r="G416" s="19" t="s">
        <v>204</v>
      </c>
      <c r="H416" s="200" t="s">
        <v>231</v>
      </c>
      <c r="I416" s="57" t="s">
        <v>124</v>
      </c>
      <c r="J416" s="15">
        <v>11000</v>
      </c>
      <c r="K416" s="15">
        <v>7960</v>
      </c>
      <c r="L416" s="15">
        <f t="shared" si="38"/>
        <v>87560000</v>
      </c>
      <c r="M416" s="15"/>
      <c r="N416" s="15">
        <f t="shared" si="39"/>
        <v>0</v>
      </c>
      <c r="O416" s="15" t="str">
        <f>IF(AND(A416='BANG KE NL'!$M$11,TH!C416="NL",LEFT(D416,1)="N"),"x","")</f>
        <v>x</v>
      </c>
    </row>
    <row r="417" spans="1:15" hidden="1">
      <c r="A417" s="24">
        <f t="shared" si="61"/>
        <v>12</v>
      </c>
      <c r="B417" s="176" t="str">
        <f>IF(AND(MONTH(E417)='IN-NX'!$J$5,'IN-NX'!$D$7=(D417&amp;"/"&amp;C417)),"x","")</f>
        <v/>
      </c>
      <c r="C417" s="173" t="s">
        <v>226</v>
      </c>
      <c r="D417" s="173" t="s">
        <v>253</v>
      </c>
      <c r="E417" s="70">
        <v>42360</v>
      </c>
      <c r="F417" s="62" t="s">
        <v>55</v>
      </c>
      <c r="G417" s="19" t="s">
        <v>205</v>
      </c>
      <c r="H417" s="200" t="s">
        <v>231</v>
      </c>
      <c r="I417" s="57" t="s">
        <v>124</v>
      </c>
      <c r="J417" s="15">
        <v>11000</v>
      </c>
      <c r="K417" s="15">
        <f>132000-SUM(K400:K416)</f>
        <v>7231</v>
      </c>
      <c r="L417" s="15">
        <f t="shared" si="38"/>
        <v>79541000</v>
      </c>
      <c r="M417" s="15"/>
      <c r="N417" s="15">
        <f t="shared" si="39"/>
        <v>0</v>
      </c>
      <c r="O417" s="15" t="str">
        <f>IF(AND(A417='BANG KE NL'!$M$11,TH!C417="NL",LEFT(D417,1)="N"),"x","")</f>
        <v>x</v>
      </c>
    </row>
    <row r="418" spans="1:15" hidden="1">
      <c r="A418" s="24">
        <f t="shared" si="61"/>
        <v>12</v>
      </c>
      <c r="B418" s="176" t="str">
        <f>IF(AND(MONTH(E418)='IN-NX'!$J$5,'IN-NX'!$D$7=(D418&amp;"/"&amp;C418)),"x","")</f>
        <v/>
      </c>
      <c r="C418" s="173" t="s">
        <v>226</v>
      </c>
      <c r="D418" s="173" t="s">
        <v>223</v>
      </c>
      <c r="E418" s="70">
        <v>42350</v>
      </c>
      <c r="F418" s="62" t="s">
        <v>55</v>
      </c>
      <c r="G418" s="19" t="s">
        <v>229</v>
      </c>
      <c r="H418" s="200" t="s">
        <v>97</v>
      </c>
      <c r="I418" s="200" t="s">
        <v>231</v>
      </c>
      <c r="J418" s="15">
        <v>11000</v>
      </c>
      <c r="K418" s="15"/>
      <c r="L418" s="15">
        <f>ROUND(J418*K418,0)</f>
        <v>0</v>
      </c>
      <c r="M418" s="15">
        <v>35350</v>
      </c>
      <c r="N418" s="15">
        <f>ROUND(J418*M418,0)</f>
        <v>388850000</v>
      </c>
      <c r="O418" s="15" t="str">
        <f>IF(AND(A418='BANG KE NL'!$M$11,TH!C418="NL",LEFT(D418,1)="N"),"x","")</f>
        <v/>
      </c>
    </row>
    <row r="419" spans="1:15" hidden="1">
      <c r="A419" s="24">
        <f t="shared" si="61"/>
        <v>12</v>
      </c>
      <c r="B419" s="176" t="str">
        <f>IF(AND(MONTH(E419)='IN-NX'!$J$5,'IN-NX'!$D$7=(D419&amp;"/"&amp;C419)),"x","")</f>
        <v/>
      </c>
      <c r="C419" s="173" t="s">
        <v>226</v>
      </c>
      <c r="D419" s="173" t="s">
        <v>230</v>
      </c>
      <c r="E419" s="70">
        <v>42353</v>
      </c>
      <c r="F419" s="62" t="s">
        <v>55</v>
      </c>
      <c r="G419" s="19" t="s">
        <v>229</v>
      </c>
      <c r="H419" s="200" t="s">
        <v>97</v>
      </c>
      <c r="I419" s="200" t="s">
        <v>231</v>
      </c>
      <c r="J419" s="15">
        <v>11000</v>
      </c>
      <c r="K419" s="15"/>
      <c r="L419" s="15">
        <f t="shared" ref="L419:L446" si="62">ROUND(J419*K419,0)</f>
        <v>0</v>
      </c>
      <c r="M419" s="15">
        <v>34853</v>
      </c>
      <c r="N419" s="15">
        <f t="shared" ref="N419:N446" si="63">ROUND(J419*M419,0)</f>
        <v>383383000</v>
      </c>
      <c r="O419" s="15" t="str">
        <f>IF(AND(A419='BANG KE NL'!$M$11,TH!C419="NL",LEFT(D419,1)="N"),"x","")</f>
        <v/>
      </c>
    </row>
    <row r="420" spans="1:15" hidden="1">
      <c r="A420" s="24">
        <f t="shared" si="61"/>
        <v>12</v>
      </c>
      <c r="B420" s="176" t="str">
        <f>IF(AND(MONTH(E420)='IN-NX'!$J$5,'IN-NX'!$D$7=(D420&amp;"/"&amp;C420)),"x","")</f>
        <v/>
      </c>
      <c r="C420" s="173" t="s">
        <v>226</v>
      </c>
      <c r="D420" s="173" t="s">
        <v>268</v>
      </c>
      <c r="E420" s="70">
        <v>42357</v>
      </c>
      <c r="F420" s="62" t="s">
        <v>55</v>
      </c>
      <c r="G420" s="19" t="s">
        <v>229</v>
      </c>
      <c r="H420" s="200" t="s">
        <v>97</v>
      </c>
      <c r="I420" s="200" t="s">
        <v>231</v>
      </c>
      <c r="J420" s="15">
        <v>11000</v>
      </c>
      <c r="K420" s="15"/>
      <c r="L420" s="15">
        <f t="shared" si="62"/>
        <v>0</v>
      </c>
      <c r="M420" s="15">
        <v>30836</v>
      </c>
      <c r="N420" s="15">
        <f t="shared" si="63"/>
        <v>339196000</v>
      </c>
      <c r="O420" s="15" t="str">
        <f>IF(AND(A420='BANG KE NL'!$M$11,TH!C420="NL",LEFT(D420,1)="N"),"x","")</f>
        <v/>
      </c>
    </row>
    <row r="421" spans="1:15" hidden="1">
      <c r="A421" s="24">
        <f t="shared" si="61"/>
        <v>12</v>
      </c>
      <c r="B421" s="176" t="str">
        <f>IF(AND(MONTH(E421)='IN-NX'!$J$5,'IN-NX'!$D$7=(D421&amp;"/"&amp;C421)),"x","")</f>
        <v/>
      </c>
      <c r="C421" s="173" t="s">
        <v>226</v>
      </c>
      <c r="D421" s="173" t="s">
        <v>269</v>
      </c>
      <c r="E421" s="70">
        <v>42360</v>
      </c>
      <c r="F421" s="62" t="s">
        <v>55</v>
      </c>
      <c r="G421" s="19" t="s">
        <v>229</v>
      </c>
      <c r="H421" s="200" t="s">
        <v>97</v>
      </c>
      <c r="I421" s="200" t="s">
        <v>231</v>
      </c>
      <c r="J421" s="15">
        <v>11000</v>
      </c>
      <c r="K421" s="15"/>
      <c r="L421" s="15">
        <f t="shared" si="62"/>
        <v>0</v>
      </c>
      <c r="M421" s="15">
        <v>30961</v>
      </c>
      <c r="N421" s="15">
        <f t="shared" si="63"/>
        <v>340571000</v>
      </c>
      <c r="O421" s="15" t="str">
        <f>IF(AND(A421='BANG KE NL'!$M$11,TH!C421="NL",LEFT(D421,1)="N"),"x","")</f>
        <v/>
      </c>
    </row>
    <row r="422" spans="1:15" hidden="1">
      <c r="A422" s="24">
        <f t="shared" ref="A422:A432" si="64">IF(E422&lt;&gt;"",MONTH(E422),"")</f>
        <v>12</v>
      </c>
      <c r="B422" s="176" t="str">
        <f>IF(AND(MONTH(E422)='IN-NX'!$J$5,'IN-NX'!$D$7=(D422&amp;"/"&amp;C422)),"x","")</f>
        <v/>
      </c>
      <c r="C422" s="173" t="s">
        <v>226</v>
      </c>
      <c r="D422" s="173" t="s">
        <v>254</v>
      </c>
      <c r="E422" s="70">
        <v>42363</v>
      </c>
      <c r="F422" s="62" t="s">
        <v>55</v>
      </c>
      <c r="G422" s="19" t="s">
        <v>204</v>
      </c>
      <c r="H422" s="200" t="s">
        <v>231</v>
      </c>
      <c r="I422" s="57" t="s">
        <v>124</v>
      </c>
      <c r="J422" s="15">
        <v>14500</v>
      </c>
      <c r="K422" s="15">
        <v>7156</v>
      </c>
      <c r="L422" s="15">
        <f t="shared" si="62"/>
        <v>103762000</v>
      </c>
      <c r="M422" s="15"/>
      <c r="N422" s="15">
        <f t="shared" si="63"/>
        <v>0</v>
      </c>
      <c r="O422" s="15" t="str">
        <f>IF(AND(A422='BANG KE NL'!$M$11,TH!C422="NL",LEFT(D422,1)="N"),"x","")</f>
        <v>x</v>
      </c>
    </row>
    <row r="423" spans="1:15" hidden="1">
      <c r="A423" s="24">
        <f t="shared" si="64"/>
        <v>12</v>
      </c>
      <c r="B423" s="176" t="str">
        <f>IF(AND(MONTH(E423)='IN-NX'!$J$5,'IN-NX'!$D$7=(D423&amp;"/"&amp;C423)),"x","")</f>
        <v/>
      </c>
      <c r="C423" s="173" t="s">
        <v>226</v>
      </c>
      <c r="D423" s="173" t="s">
        <v>255</v>
      </c>
      <c r="E423" s="70">
        <v>42363</v>
      </c>
      <c r="F423" s="62" t="s">
        <v>55</v>
      </c>
      <c r="G423" s="19" t="s">
        <v>205</v>
      </c>
      <c r="H423" s="200" t="s">
        <v>231</v>
      </c>
      <c r="I423" s="57" t="s">
        <v>124</v>
      </c>
      <c r="J423" s="15">
        <v>14500</v>
      </c>
      <c r="K423" s="15">
        <v>7015</v>
      </c>
      <c r="L423" s="15">
        <f t="shared" si="62"/>
        <v>101717500</v>
      </c>
      <c r="M423" s="15"/>
      <c r="N423" s="15">
        <f t="shared" si="63"/>
        <v>0</v>
      </c>
      <c r="O423" s="15" t="str">
        <f>IF(AND(A423='BANG KE NL'!$M$11,TH!C423="NL",LEFT(D423,1)="N"),"x","")</f>
        <v>x</v>
      </c>
    </row>
    <row r="424" spans="1:15" hidden="1">
      <c r="A424" s="24">
        <f t="shared" si="64"/>
        <v>12</v>
      </c>
      <c r="B424" s="176" t="str">
        <f>IF(AND(MONTH(E424)='IN-NX'!$J$5,'IN-NX'!$D$7=(D424&amp;"/"&amp;C424)),"x","")</f>
        <v/>
      </c>
      <c r="C424" s="173" t="s">
        <v>226</v>
      </c>
      <c r="D424" s="173" t="s">
        <v>256</v>
      </c>
      <c r="E424" s="70">
        <v>42363</v>
      </c>
      <c r="F424" s="62" t="s">
        <v>55</v>
      </c>
      <c r="G424" s="19" t="s">
        <v>206</v>
      </c>
      <c r="H424" s="200" t="s">
        <v>231</v>
      </c>
      <c r="I424" s="57" t="s">
        <v>124</v>
      </c>
      <c r="J424" s="15">
        <v>14500</v>
      </c>
      <c r="K424" s="15">
        <v>6930</v>
      </c>
      <c r="L424" s="15">
        <f t="shared" si="62"/>
        <v>100485000</v>
      </c>
      <c r="M424" s="15"/>
      <c r="N424" s="15">
        <f t="shared" si="63"/>
        <v>0</v>
      </c>
      <c r="O424" s="15" t="str">
        <f>IF(AND(A424='BANG KE NL'!$M$11,TH!C424="NL",LEFT(D424,1)="N"),"x","")</f>
        <v>x</v>
      </c>
    </row>
    <row r="425" spans="1:15" hidden="1">
      <c r="A425" s="24">
        <f t="shared" si="64"/>
        <v>12</v>
      </c>
      <c r="B425" s="176" t="str">
        <f>IF(AND(MONTH(E425)='IN-NX'!$J$5,'IN-NX'!$D$7=(D425&amp;"/"&amp;C425)),"x","")</f>
        <v/>
      </c>
      <c r="C425" s="173" t="s">
        <v>226</v>
      </c>
      <c r="D425" s="173" t="s">
        <v>257</v>
      </c>
      <c r="E425" s="70">
        <v>42363</v>
      </c>
      <c r="F425" s="62" t="s">
        <v>55</v>
      </c>
      <c r="G425" s="19" t="s">
        <v>208</v>
      </c>
      <c r="H425" s="200" t="s">
        <v>231</v>
      </c>
      <c r="I425" s="57" t="s">
        <v>124</v>
      </c>
      <c r="J425" s="15">
        <v>14500</v>
      </c>
      <c r="K425" s="15">
        <v>7248</v>
      </c>
      <c r="L425" s="15">
        <f t="shared" si="62"/>
        <v>105096000</v>
      </c>
      <c r="M425" s="15"/>
      <c r="N425" s="15">
        <f t="shared" si="63"/>
        <v>0</v>
      </c>
      <c r="O425" s="15" t="str">
        <f>IF(AND(A425='BANG KE NL'!$M$11,TH!C425="NL",LEFT(D425,1)="N"),"x","")</f>
        <v>x</v>
      </c>
    </row>
    <row r="426" spans="1:15" hidden="1">
      <c r="A426" s="24">
        <f t="shared" si="64"/>
        <v>12</v>
      </c>
      <c r="B426" s="176" t="str">
        <f>IF(AND(MONTH(E426)='IN-NX'!$J$5,'IN-NX'!$D$7=(D426&amp;"/"&amp;C426)),"x","")</f>
        <v/>
      </c>
      <c r="C426" s="173" t="s">
        <v>226</v>
      </c>
      <c r="D426" s="173" t="s">
        <v>258</v>
      </c>
      <c r="E426" s="70">
        <v>42363</v>
      </c>
      <c r="F426" s="62" t="s">
        <v>55</v>
      </c>
      <c r="G426" s="19" t="s">
        <v>207</v>
      </c>
      <c r="H426" s="200" t="s">
        <v>231</v>
      </c>
      <c r="I426" s="57" t="s">
        <v>124</v>
      </c>
      <c r="J426" s="15">
        <v>14500</v>
      </c>
      <c r="K426" s="15">
        <v>7140</v>
      </c>
      <c r="L426" s="15">
        <f t="shared" si="62"/>
        <v>103530000</v>
      </c>
      <c r="M426" s="15"/>
      <c r="N426" s="15">
        <f t="shared" si="63"/>
        <v>0</v>
      </c>
      <c r="O426" s="15" t="str">
        <f>IF(AND(A426='BANG KE NL'!$M$11,TH!C426="NL",LEFT(D426,1)="N"),"x","")</f>
        <v>x</v>
      </c>
    </row>
    <row r="427" spans="1:15" hidden="1">
      <c r="A427" s="24">
        <f t="shared" si="64"/>
        <v>12</v>
      </c>
      <c r="B427" s="176" t="str">
        <f>IF(AND(MONTH(E427)='IN-NX'!$J$5,'IN-NX'!$D$7=(D427&amp;"/"&amp;C427)),"x","")</f>
        <v/>
      </c>
      <c r="C427" s="173" t="s">
        <v>226</v>
      </c>
      <c r="D427" s="173" t="s">
        <v>262</v>
      </c>
      <c r="E427" s="70">
        <v>42365</v>
      </c>
      <c r="F427" s="62" t="s">
        <v>55</v>
      </c>
      <c r="G427" s="19" t="s">
        <v>202</v>
      </c>
      <c r="H427" s="200" t="s">
        <v>231</v>
      </c>
      <c r="I427" s="57" t="s">
        <v>124</v>
      </c>
      <c r="J427" s="15">
        <v>14500</v>
      </c>
      <c r="K427" s="15">
        <v>7080</v>
      </c>
      <c r="L427" s="15">
        <f t="shared" si="62"/>
        <v>102660000</v>
      </c>
      <c r="M427" s="15"/>
      <c r="N427" s="15">
        <f t="shared" si="63"/>
        <v>0</v>
      </c>
      <c r="O427" s="15" t="str">
        <f>IF(AND(A427='BANG KE NL'!$M$11,TH!C427="NL",LEFT(D427,1)="N"),"x","")</f>
        <v>x</v>
      </c>
    </row>
    <row r="428" spans="1:15" hidden="1">
      <c r="A428" s="24">
        <f t="shared" si="64"/>
        <v>12</v>
      </c>
      <c r="B428" s="176" t="str">
        <f>IF(AND(MONTH(E428)='IN-NX'!$J$5,'IN-NX'!$D$7=(D428&amp;"/"&amp;C428)),"x","")</f>
        <v/>
      </c>
      <c r="C428" s="173" t="s">
        <v>226</v>
      </c>
      <c r="D428" s="173" t="s">
        <v>263</v>
      </c>
      <c r="E428" s="70">
        <v>42365</v>
      </c>
      <c r="F428" s="62" t="s">
        <v>55</v>
      </c>
      <c r="G428" s="19" t="s">
        <v>210</v>
      </c>
      <c r="H428" s="200" t="s">
        <v>231</v>
      </c>
      <c r="I428" s="57" t="s">
        <v>124</v>
      </c>
      <c r="J428" s="15">
        <v>14500</v>
      </c>
      <c r="K428" s="15">
        <v>7120</v>
      </c>
      <c r="L428" s="15">
        <f t="shared" si="62"/>
        <v>103240000</v>
      </c>
      <c r="M428" s="15"/>
      <c r="N428" s="15">
        <f t="shared" si="63"/>
        <v>0</v>
      </c>
      <c r="O428" s="15" t="str">
        <f>IF(AND(A428='BANG KE NL'!$M$11,TH!C428="NL",LEFT(D428,1)="N"),"x","")</f>
        <v>x</v>
      </c>
    </row>
    <row r="429" spans="1:15" hidden="1">
      <c r="A429" s="24">
        <f t="shared" si="64"/>
        <v>12</v>
      </c>
      <c r="B429" s="176" t="str">
        <f>IF(AND(MONTH(E429)='IN-NX'!$J$5,'IN-NX'!$D$7=(D429&amp;"/"&amp;C429)),"x","")</f>
        <v/>
      </c>
      <c r="C429" s="173" t="s">
        <v>226</v>
      </c>
      <c r="D429" s="173" t="s">
        <v>264</v>
      </c>
      <c r="E429" s="70">
        <v>42365</v>
      </c>
      <c r="F429" s="62" t="s">
        <v>55</v>
      </c>
      <c r="G429" s="19" t="s">
        <v>205</v>
      </c>
      <c r="H429" s="200" t="s">
        <v>231</v>
      </c>
      <c r="I429" s="57" t="s">
        <v>124</v>
      </c>
      <c r="J429" s="15">
        <v>14500</v>
      </c>
      <c r="K429" s="15">
        <v>6973</v>
      </c>
      <c r="L429" s="15">
        <f t="shared" si="62"/>
        <v>101108500</v>
      </c>
      <c r="M429" s="15"/>
      <c r="N429" s="15">
        <f t="shared" si="63"/>
        <v>0</v>
      </c>
      <c r="O429" s="15" t="str">
        <f>IF(AND(A429='BANG KE NL'!$M$11,TH!C429="NL",LEFT(D429,1)="N"),"x","")</f>
        <v>x</v>
      </c>
    </row>
    <row r="430" spans="1:15" hidden="1">
      <c r="A430" s="24">
        <f t="shared" si="64"/>
        <v>12</v>
      </c>
      <c r="B430" s="176" t="str">
        <f>IF(AND(MONTH(E430)='IN-NX'!$J$5,'IN-NX'!$D$7=(D430&amp;"/"&amp;C430)),"x","")</f>
        <v/>
      </c>
      <c r="C430" s="173" t="s">
        <v>226</v>
      </c>
      <c r="D430" s="173" t="s">
        <v>265</v>
      </c>
      <c r="E430" s="70">
        <v>42365</v>
      </c>
      <c r="F430" s="62" t="s">
        <v>55</v>
      </c>
      <c r="G430" s="19" t="s">
        <v>206</v>
      </c>
      <c r="H430" s="200" t="s">
        <v>231</v>
      </c>
      <c r="I430" s="57" t="s">
        <v>124</v>
      </c>
      <c r="J430" s="15">
        <v>14500</v>
      </c>
      <c r="K430" s="15">
        <v>7048</v>
      </c>
      <c r="L430" s="15">
        <f t="shared" si="62"/>
        <v>102196000</v>
      </c>
      <c r="M430" s="15"/>
      <c r="N430" s="15">
        <f t="shared" si="63"/>
        <v>0</v>
      </c>
      <c r="O430" s="15" t="str">
        <f>IF(AND(A430='BANG KE NL'!$M$11,TH!C430="NL",LEFT(D430,1)="N"),"x","")</f>
        <v>x</v>
      </c>
    </row>
    <row r="431" spans="1:15" hidden="1">
      <c r="A431" s="24">
        <f t="shared" si="64"/>
        <v>12</v>
      </c>
      <c r="B431" s="176" t="str">
        <f>IF(AND(MONTH(E431)='IN-NX'!$J$5,'IN-NX'!$D$7=(D431&amp;"/"&amp;C431)),"x","")</f>
        <v/>
      </c>
      <c r="C431" s="173" t="s">
        <v>226</v>
      </c>
      <c r="D431" s="173" t="s">
        <v>266</v>
      </c>
      <c r="E431" s="70">
        <v>42365</v>
      </c>
      <c r="F431" s="62" t="s">
        <v>55</v>
      </c>
      <c r="G431" s="19" t="s">
        <v>204</v>
      </c>
      <c r="H431" s="200" t="s">
        <v>231</v>
      </c>
      <c r="I431" s="57" t="s">
        <v>124</v>
      </c>
      <c r="J431" s="15">
        <v>14500</v>
      </c>
      <c r="K431" s="15">
        <v>7780</v>
      </c>
      <c r="L431" s="15">
        <f t="shared" si="62"/>
        <v>112810000</v>
      </c>
      <c r="M431" s="15"/>
      <c r="N431" s="15">
        <f t="shared" si="63"/>
        <v>0</v>
      </c>
      <c r="O431" s="15" t="str">
        <f>IF(AND(A431='BANG KE NL'!$M$11,TH!C431="NL",LEFT(D431,1)="N"),"x","")</f>
        <v>x</v>
      </c>
    </row>
    <row r="432" spans="1:15" hidden="1">
      <c r="A432" s="24">
        <f t="shared" si="64"/>
        <v>12</v>
      </c>
      <c r="B432" s="176" t="str">
        <f>IF(AND(MONTH(E432)='IN-NX'!$J$5,'IN-NX'!$D$7=(D432&amp;"/"&amp;C432)),"x","")</f>
        <v/>
      </c>
      <c r="C432" s="173" t="s">
        <v>226</v>
      </c>
      <c r="D432" s="173" t="s">
        <v>402</v>
      </c>
      <c r="E432" s="70">
        <v>42367</v>
      </c>
      <c r="F432" s="62" t="s">
        <v>55</v>
      </c>
      <c r="G432" s="19" t="s">
        <v>204</v>
      </c>
      <c r="H432" s="200" t="s">
        <v>231</v>
      </c>
      <c r="I432" s="57" t="s">
        <v>124</v>
      </c>
      <c r="J432" s="15">
        <v>14500</v>
      </c>
      <c r="K432" s="15">
        <v>7049</v>
      </c>
      <c r="L432" s="15">
        <f t="shared" si="62"/>
        <v>102210500</v>
      </c>
      <c r="M432" s="15"/>
      <c r="N432" s="15">
        <f t="shared" si="63"/>
        <v>0</v>
      </c>
      <c r="O432" s="15" t="str">
        <f>IF(AND(A432='BANG KE NL'!$M$11,TH!C432="NL",LEFT(D432,1)="N"),"x","")</f>
        <v>x</v>
      </c>
    </row>
    <row r="433" spans="1:15" hidden="1">
      <c r="A433" s="24">
        <f t="shared" ref="A433:A451" si="65">IF(E433&lt;&gt;"",MONTH(E433),"")</f>
        <v>12</v>
      </c>
      <c r="B433" s="176" t="str">
        <f>IF(AND(MONTH(E433)='IN-NX'!$J$5,'IN-NX'!$D$7=(D433&amp;"/"&amp;C433)),"x","")</f>
        <v/>
      </c>
      <c r="C433" s="173" t="s">
        <v>226</v>
      </c>
      <c r="D433" s="173" t="s">
        <v>403</v>
      </c>
      <c r="E433" s="70">
        <v>42367</v>
      </c>
      <c r="F433" s="62" t="s">
        <v>55</v>
      </c>
      <c r="G433" s="19" t="s">
        <v>205</v>
      </c>
      <c r="H433" s="200" t="s">
        <v>231</v>
      </c>
      <c r="I433" s="57" t="s">
        <v>124</v>
      </c>
      <c r="J433" s="15">
        <v>14500</v>
      </c>
      <c r="K433" s="15">
        <v>7450</v>
      </c>
      <c r="L433" s="15">
        <f t="shared" si="62"/>
        <v>108025000</v>
      </c>
      <c r="M433" s="15"/>
      <c r="N433" s="15">
        <f t="shared" si="63"/>
        <v>0</v>
      </c>
      <c r="O433" s="15" t="str">
        <f>IF(AND(A433='BANG KE NL'!$M$11,TH!C433="NL",LEFT(D433,1)="N"),"x","")</f>
        <v>x</v>
      </c>
    </row>
    <row r="434" spans="1:15" hidden="1">
      <c r="A434" s="24">
        <f t="shared" si="65"/>
        <v>12</v>
      </c>
      <c r="B434" s="176" t="str">
        <f>IF(AND(MONTH(E434)='IN-NX'!$J$5,'IN-NX'!$D$7=(D434&amp;"/"&amp;C434)),"x","")</f>
        <v/>
      </c>
      <c r="C434" s="173" t="s">
        <v>226</v>
      </c>
      <c r="D434" s="173" t="s">
        <v>404</v>
      </c>
      <c r="E434" s="70">
        <v>42367</v>
      </c>
      <c r="F434" s="62" t="s">
        <v>55</v>
      </c>
      <c r="G434" s="19" t="s">
        <v>206</v>
      </c>
      <c r="H434" s="200" t="s">
        <v>231</v>
      </c>
      <c r="I434" s="57" t="s">
        <v>124</v>
      </c>
      <c r="J434" s="15">
        <v>14500</v>
      </c>
      <c r="K434" s="15">
        <v>7390</v>
      </c>
      <c r="L434" s="15">
        <f t="shared" si="62"/>
        <v>107155000</v>
      </c>
      <c r="M434" s="15"/>
      <c r="N434" s="15">
        <f t="shared" si="63"/>
        <v>0</v>
      </c>
      <c r="O434" s="15" t="str">
        <f>IF(AND(A434='BANG KE NL'!$M$11,TH!C434="NL",LEFT(D434,1)="N"),"x","")</f>
        <v>x</v>
      </c>
    </row>
    <row r="435" spans="1:15" hidden="1">
      <c r="A435" s="24">
        <f t="shared" si="65"/>
        <v>12</v>
      </c>
      <c r="B435" s="176" t="str">
        <f>IF(AND(MONTH(E435)='IN-NX'!$J$5,'IN-NX'!$D$7=(D435&amp;"/"&amp;C435)),"x","")</f>
        <v/>
      </c>
      <c r="C435" s="173" t="s">
        <v>226</v>
      </c>
      <c r="D435" s="173" t="s">
        <v>405</v>
      </c>
      <c r="E435" s="70">
        <v>42367</v>
      </c>
      <c r="F435" s="62" t="s">
        <v>55</v>
      </c>
      <c r="G435" s="19" t="s">
        <v>207</v>
      </c>
      <c r="H435" s="200" t="s">
        <v>231</v>
      </c>
      <c r="I435" s="57" t="s">
        <v>124</v>
      </c>
      <c r="J435" s="15">
        <v>14500</v>
      </c>
      <c r="K435" s="15">
        <v>7840</v>
      </c>
      <c r="L435" s="15">
        <f t="shared" si="62"/>
        <v>113680000</v>
      </c>
      <c r="M435" s="15"/>
      <c r="N435" s="15">
        <f t="shared" si="63"/>
        <v>0</v>
      </c>
      <c r="O435" s="15" t="str">
        <f>IF(AND(A435='BANG KE NL'!$M$11,TH!C435="NL",LEFT(D435,1)="N"),"x","")</f>
        <v>x</v>
      </c>
    </row>
    <row r="436" spans="1:15" hidden="1">
      <c r="A436" s="24">
        <f t="shared" si="65"/>
        <v>12</v>
      </c>
      <c r="B436" s="176" t="str">
        <f>IF(AND(MONTH(E436)='IN-NX'!$J$5,'IN-NX'!$D$7=(D436&amp;"/"&amp;C436)),"x","")</f>
        <v/>
      </c>
      <c r="C436" s="173" t="s">
        <v>226</v>
      </c>
      <c r="D436" s="173" t="s">
        <v>408</v>
      </c>
      <c r="E436" s="70">
        <v>42369</v>
      </c>
      <c r="F436" s="62" t="s">
        <v>55</v>
      </c>
      <c r="G436" s="19" t="s">
        <v>202</v>
      </c>
      <c r="H436" s="200" t="s">
        <v>231</v>
      </c>
      <c r="I436" s="57" t="s">
        <v>124</v>
      </c>
      <c r="J436" s="15">
        <v>14500</v>
      </c>
      <c r="K436" s="15">
        <v>7890</v>
      </c>
      <c r="L436" s="15">
        <f t="shared" si="62"/>
        <v>114405000</v>
      </c>
      <c r="M436" s="15"/>
      <c r="N436" s="15">
        <f t="shared" si="63"/>
        <v>0</v>
      </c>
      <c r="O436" s="15" t="str">
        <f>IF(AND(A436='BANG KE NL'!$M$11,TH!C436="NL",LEFT(D436,1)="N"),"x","")</f>
        <v>x</v>
      </c>
    </row>
    <row r="437" spans="1:15" hidden="1">
      <c r="A437" s="24">
        <f t="shared" si="65"/>
        <v>12</v>
      </c>
      <c r="B437" s="176" t="str">
        <f>IF(AND(MONTH(E437)='IN-NX'!$J$5,'IN-NX'!$D$7=(D437&amp;"/"&amp;C437)),"x","")</f>
        <v/>
      </c>
      <c r="C437" s="173" t="s">
        <v>226</v>
      </c>
      <c r="D437" s="173" t="s">
        <v>409</v>
      </c>
      <c r="E437" s="70">
        <v>42369</v>
      </c>
      <c r="F437" s="62" t="s">
        <v>55</v>
      </c>
      <c r="G437" s="19" t="s">
        <v>210</v>
      </c>
      <c r="H437" s="200" t="s">
        <v>231</v>
      </c>
      <c r="I437" s="57" t="s">
        <v>124</v>
      </c>
      <c r="J437" s="15">
        <v>14500</v>
      </c>
      <c r="K437" s="15">
        <v>7540</v>
      </c>
      <c r="L437" s="15">
        <f t="shared" si="62"/>
        <v>109330000</v>
      </c>
      <c r="M437" s="15"/>
      <c r="N437" s="15">
        <f t="shared" si="63"/>
        <v>0</v>
      </c>
      <c r="O437" s="15" t="str">
        <f>IF(AND(A437='BANG KE NL'!$M$11,TH!C437="NL",LEFT(D437,1)="N"),"x","")</f>
        <v>x</v>
      </c>
    </row>
    <row r="438" spans="1:15" hidden="1">
      <c r="A438" s="24">
        <f t="shared" si="65"/>
        <v>12</v>
      </c>
      <c r="B438" s="176" t="str">
        <f>IF(AND(MONTH(E438)='IN-NX'!$J$5,'IN-NX'!$D$7=(D438&amp;"/"&amp;C438)),"x","")</f>
        <v/>
      </c>
      <c r="C438" s="173" t="s">
        <v>226</v>
      </c>
      <c r="D438" s="173" t="s">
        <v>410</v>
      </c>
      <c r="E438" s="70">
        <v>42369</v>
      </c>
      <c r="F438" s="62" t="s">
        <v>55</v>
      </c>
      <c r="G438" s="19" t="s">
        <v>204</v>
      </c>
      <c r="H438" s="200" t="s">
        <v>231</v>
      </c>
      <c r="I438" s="57" t="s">
        <v>124</v>
      </c>
      <c r="J438" s="15">
        <v>14500</v>
      </c>
      <c r="K438" s="15">
        <v>7860</v>
      </c>
      <c r="L438" s="15">
        <f t="shared" si="62"/>
        <v>113970000</v>
      </c>
      <c r="M438" s="15"/>
      <c r="N438" s="15">
        <f t="shared" si="63"/>
        <v>0</v>
      </c>
      <c r="O438" s="15" t="str">
        <f>IF(AND(A438='BANG KE NL'!$M$11,TH!C438="NL",LEFT(D438,1)="N"),"x","")</f>
        <v>x</v>
      </c>
    </row>
    <row r="439" spans="1:15" hidden="1">
      <c r="A439" s="24">
        <f t="shared" si="65"/>
        <v>12</v>
      </c>
      <c r="B439" s="176" t="str">
        <f>IF(AND(MONTH(E439)='IN-NX'!$J$5,'IN-NX'!$D$7=(D439&amp;"/"&amp;C439)),"x","")</f>
        <v/>
      </c>
      <c r="C439" s="173" t="s">
        <v>226</v>
      </c>
      <c r="D439" s="173" t="s">
        <v>411</v>
      </c>
      <c r="E439" s="70">
        <v>42369</v>
      </c>
      <c r="F439" s="62" t="s">
        <v>55</v>
      </c>
      <c r="G439" s="19" t="s">
        <v>205</v>
      </c>
      <c r="H439" s="200" t="s">
        <v>231</v>
      </c>
      <c r="I439" s="57" t="s">
        <v>124</v>
      </c>
      <c r="J439" s="15">
        <v>14500</v>
      </c>
      <c r="K439" s="15">
        <f>132000-SUM(K422:K438)</f>
        <v>7491</v>
      </c>
      <c r="L439" s="15">
        <f t="shared" si="62"/>
        <v>108619500</v>
      </c>
      <c r="M439" s="15"/>
      <c r="N439" s="15">
        <f t="shared" si="63"/>
        <v>0</v>
      </c>
      <c r="O439" s="15" t="str">
        <f>IF(AND(A439='BANG KE NL'!$M$11,TH!C439="NL",LEFT(D439,1)="N"),"x","")</f>
        <v>x</v>
      </c>
    </row>
    <row r="440" spans="1:15" hidden="1">
      <c r="A440" s="24">
        <f t="shared" si="65"/>
        <v>12</v>
      </c>
      <c r="B440" s="176" t="str">
        <f>IF(AND(MONTH(E440)='IN-NX'!$J$5,'IN-NX'!$D$7=(D440&amp;"/"&amp;C440)),"x","")</f>
        <v/>
      </c>
      <c r="C440" s="173" t="s">
        <v>226</v>
      </c>
      <c r="D440" s="173" t="s">
        <v>259</v>
      </c>
      <c r="E440" s="70">
        <v>42364</v>
      </c>
      <c r="F440" s="62" t="s">
        <v>69</v>
      </c>
      <c r="G440" s="19" t="s">
        <v>172</v>
      </c>
      <c r="H440" s="200" t="s">
        <v>231</v>
      </c>
      <c r="I440" s="57" t="s">
        <v>124</v>
      </c>
      <c r="J440" s="15">
        <v>18500</v>
      </c>
      <c r="K440" s="15">
        <v>6780</v>
      </c>
      <c r="L440" s="15">
        <f t="shared" si="62"/>
        <v>125430000</v>
      </c>
      <c r="M440" s="15"/>
      <c r="N440" s="15">
        <f t="shared" si="63"/>
        <v>0</v>
      </c>
      <c r="O440" s="15" t="str">
        <f>IF(AND(A440='BANG KE NL'!$M$11,TH!C440="NL",LEFT(D440,1)="N"),"x","")</f>
        <v>x</v>
      </c>
    </row>
    <row r="441" spans="1:15" hidden="1">
      <c r="A441" s="24">
        <f t="shared" si="65"/>
        <v>12</v>
      </c>
      <c r="B441" s="176" t="str">
        <f>IF(AND(MONTH(E441)='IN-NX'!$J$5,'IN-NX'!$D$7=(D441&amp;"/"&amp;C441)),"x","")</f>
        <v/>
      </c>
      <c r="C441" s="173" t="s">
        <v>226</v>
      </c>
      <c r="D441" s="173" t="s">
        <v>260</v>
      </c>
      <c r="E441" s="70">
        <v>42364</v>
      </c>
      <c r="F441" s="62" t="s">
        <v>69</v>
      </c>
      <c r="G441" s="19" t="s">
        <v>167</v>
      </c>
      <c r="H441" s="200" t="s">
        <v>231</v>
      </c>
      <c r="I441" s="57" t="s">
        <v>124</v>
      </c>
      <c r="J441" s="15">
        <v>18500</v>
      </c>
      <c r="K441" s="15">
        <v>6930</v>
      </c>
      <c r="L441" s="15">
        <f t="shared" si="62"/>
        <v>128205000</v>
      </c>
      <c r="M441" s="15"/>
      <c r="N441" s="15">
        <f t="shared" si="63"/>
        <v>0</v>
      </c>
      <c r="O441" s="15" t="str">
        <f>IF(AND(A441='BANG KE NL'!$M$11,TH!C441="NL",LEFT(D441,1)="N"),"x","")</f>
        <v>x</v>
      </c>
    </row>
    <row r="442" spans="1:15" hidden="1">
      <c r="A442" s="24">
        <f t="shared" si="65"/>
        <v>12</v>
      </c>
      <c r="B442" s="176" t="str">
        <f>IF(AND(MONTH(E442)='IN-NX'!$J$5,'IN-NX'!$D$7=(D442&amp;"/"&amp;C442)),"x","")</f>
        <v/>
      </c>
      <c r="C442" s="173" t="s">
        <v>226</v>
      </c>
      <c r="D442" s="173" t="s">
        <v>261</v>
      </c>
      <c r="E442" s="70">
        <v>42364</v>
      </c>
      <c r="F442" s="62" t="s">
        <v>69</v>
      </c>
      <c r="G442" s="19" t="s">
        <v>173</v>
      </c>
      <c r="H442" s="200" t="s">
        <v>231</v>
      </c>
      <c r="I442" s="57" t="s">
        <v>124</v>
      </c>
      <c r="J442" s="15">
        <v>18500</v>
      </c>
      <c r="K442" s="15">
        <v>6830</v>
      </c>
      <c r="L442" s="15">
        <f t="shared" si="62"/>
        <v>126355000</v>
      </c>
      <c r="M442" s="15"/>
      <c r="N442" s="15">
        <f t="shared" si="63"/>
        <v>0</v>
      </c>
      <c r="O442" s="15" t="str">
        <f>IF(AND(A442='BANG KE NL'!$M$11,TH!C442="NL",LEFT(D442,1)="N"),"x","")</f>
        <v>x</v>
      </c>
    </row>
    <row r="443" spans="1:15" hidden="1">
      <c r="A443" s="24">
        <f t="shared" ref="A443" si="66">IF(E443&lt;&gt;"",MONTH(E443),"")</f>
        <v>12</v>
      </c>
      <c r="B443" s="176" t="str">
        <f>IF(AND(MONTH(E443)='IN-NX'!$J$5,'IN-NX'!$D$7=(D443&amp;"/"&amp;C443)),"x","")</f>
        <v/>
      </c>
      <c r="C443" s="173" t="s">
        <v>226</v>
      </c>
      <c r="D443" s="173" t="s">
        <v>267</v>
      </c>
      <c r="E443" s="70">
        <v>42366</v>
      </c>
      <c r="F443" s="62" t="s">
        <v>69</v>
      </c>
      <c r="G443" s="19" t="s">
        <v>172</v>
      </c>
      <c r="H443" s="200" t="s">
        <v>231</v>
      </c>
      <c r="I443" s="57" t="s">
        <v>124</v>
      </c>
      <c r="J443" s="15">
        <v>18500</v>
      </c>
      <c r="K443" s="15">
        <v>6780</v>
      </c>
      <c r="L443" s="15">
        <f t="shared" ref="L443" si="67">ROUND(J443*K443,0)</f>
        <v>125430000</v>
      </c>
      <c r="M443" s="15"/>
      <c r="N443" s="15">
        <f t="shared" ref="N443" si="68">ROUND(J443*M443,0)</f>
        <v>0</v>
      </c>
      <c r="O443" s="15" t="str">
        <f>IF(AND(A443='BANG KE NL'!$M$11,TH!C443="NL",LEFT(D443,1)="N"),"x","")</f>
        <v>x</v>
      </c>
    </row>
    <row r="444" spans="1:15" hidden="1">
      <c r="A444" s="24">
        <f t="shared" si="65"/>
        <v>12</v>
      </c>
      <c r="B444" s="176" t="str">
        <f>IF(AND(MONTH(E444)='IN-NX'!$J$5,'IN-NX'!$D$7=(D444&amp;"/"&amp;C444)),"x","")</f>
        <v/>
      </c>
      <c r="C444" s="173" t="s">
        <v>226</v>
      </c>
      <c r="D444" s="173" t="s">
        <v>401</v>
      </c>
      <c r="E444" s="70">
        <v>42366</v>
      </c>
      <c r="F444" s="62" t="s">
        <v>69</v>
      </c>
      <c r="G444" s="19" t="s">
        <v>167</v>
      </c>
      <c r="H444" s="200" t="s">
        <v>231</v>
      </c>
      <c r="I444" s="57" t="s">
        <v>124</v>
      </c>
      <c r="J444" s="15">
        <v>18500</v>
      </c>
      <c r="K444" s="15">
        <v>6730</v>
      </c>
      <c r="L444" s="15">
        <f t="shared" si="62"/>
        <v>124505000</v>
      </c>
      <c r="M444" s="15"/>
      <c r="N444" s="15">
        <f t="shared" si="63"/>
        <v>0</v>
      </c>
      <c r="O444" s="15" t="str">
        <f>IF(AND(A444='BANG KE NL'!$M$11,TH!C444="NL",LEFT(D444,1)="N"),"x","")</f>
        <v>x</v>
      </c>
    </row>
    <row r="445" spans="1:15" hidden="1">
      <c r="A445" s="24">
        <f t="shared" si="65"/>
        <v>12</v>
      </c>
      <c r="B445" s="176" t="str">
        <f>IF(AND(MONTH(E445)='IN-NX'!$J$5,'IN-NX'!$D$7=(D445&amp;"/"&amp;C445)),"x","")</f>
        <v/>
      </c>
      <c r="C445" s="173" t="s">
        <v>226</v>
      </c>
      <c r="D445" s="173" t="s">
        <v>406</v>
      </c>
      <c r="E445" s="70">
        <v>42368</v>
      </c>
      <c r="F445" s="62" t="s">
        <v>69</v>
      </c>
      <c r="G445" s="19" t="s">
        <v>172</v>
      </c>
      <c r="H445" s="200" t="s">
        <v>231</v>
      </c>
      <c r="I445" s="57" t="s">
        <v>124</v>
      </c>
      <c r="J445" s="15">
        <v>18500</v>
      </c>
      <c r="K445" s="15">
        <v>6043</v>
      </c>
      <c r="L445" s="15">
        <f t="shared" si="62"/>
        <v>111795500</v>
      </c>
      <c r="M445" s="15"/>
      <c r="N445" s="15">
        <f t="shared" si="63"/>
        <v>0</v>
      </c>
      <c r="O445" s="15" t="str">
        <f>IF(AND(A445='BANG KE NL'!$M$11,TH!C445="NL",LEFT(D445,1)="N"),"x","")</f>
        <v>x</v>
      </c>
    </row>
    <row r="446" spans="1:15" hidden="1">
      <c r="A446" s="24">
        <f t="shared" si="65"/>
        <v>12</v>
      </c>
      <c r="B446" s="176" t="str">
        <f>IF(AND(MONTH(E446)='IN-NX'!$J$5,'IN-NX'!$D$7=(D446&amp;"/"&amp;C446)),"x","")</f>
        <v/>
      </c>
      <c r="C446" s="173" t="s">
        <v>226</v>
      </c>
      <c r="D446" s="173" t="s">
        <v>407</v>
      </c>
      <c r="E446" s="70">
        <v>42368</v>
      </c>
      <c r="F446" s="62" t="s">
        <v>69</v>
      </c>
      <c r="G446" s="19" t="s">
        <v>173</v>
      </c>
      <c r="H446" s="200" t="s">
        <v>231</v>
      </c>
      <c r="I446" s="57" t="s">
        <v>124</v>
      </c>
      <c r="J446" s="15">
        <v>18500</v>
      </c>
      <c r="K446" s="15">
        <f>46400-SUM(K440:K445)</f>
        <v>6307</v>
      </c>
      <c r="L446" s="15">
        <f t="shared" si="62"/>
        <v>116679500</v>
      </c>
      <c r="M446" s="15"/>
      <c r="N446" s="15">
        <f t="shared" si="63"/>
        <v>0</v>
      </c>
      <c r="O446" s="15" t="str">
        <f>IF(AND(A446='BANG KE NL'!$M$11,TH!C446="NL",LEFT(D446,1)="N"),"x","")</f>
        <v>x</v>
      </c>
    </row>
    <row r="447" spans="1:15" s="286" customFormat="1" hidden="1">
      <c r="A447" s="24">
        <f t="shared" si="65"/>
        <v>1</v>
      </c>
      <c r="B447" s="176" t="str">
        <f>IF(AND(MONTH(E447)='IN-NX'!$J$5,'IN-NX'!$D$7=(D447&amp;"/"&amp;C447)),"x","")</f>
        <v/>
      </c>
      <c r="C447" s="278" t="s">
        <v>225</v>
      </c>
      <c r="D447" s="278" t="s">
        <v>214</v>
      </c>
      <c r="E447" s="280">
        <v>42012</v>
      </c>
      <c r="F447" s="281" t="s">
        <v>113</v>
      </c>
      <c r="G447" s="282" t="s">
        <v>160</v>
      </c>
      <c r="H447" s="283" t="s">
        <v>159</v>
      </c>
      <c r="I447" s="284" t="s">
        <v>97</v>
      </c>
      <c r="J447" s="285">
        <v>138164.87745373789</v>
      </c>
      <c r="K447" s="285">
        <v>2544</v>
      </c>
      <c r="L447" s="285">
        <f t="shared" ref="L447:L492" si="69">ROUND(J447*K447,0)</f>
        <v>351491448</v>
      </c>
      <c r="M447" s="285"/>
      <c r="N447" s="285">
        <f t="shared" ref="N447:N492" si="70">ROUND(J447*M447,0)</f>
        <v>0</v>
      </c>
      <c r="O447" s="15" t="str">
        <f>IF(AND(A447='BANG KE NL'!$M$11,TH!C447="NL",LEFT(D447,1)="N"),"x","")</f>
        <v/>
      </c>
    </row>
    <row r="448" spans="1:15" s="286" customFormat="1" hidden="1">
      <c r="A448" s="24">
        <f t="shared" si="65"/>
        <v>1</v>
      </c>
      <c r="B448" s="176" t="str">
        <f>IF(AND(MONTH(E448)='IN-NX'!$J$5,'IN-NX'!$D$7=(D448&amp;"/"&amp;C448)),"x","")</f>
        <v/>
      </c>
      <c r="C448" s="278" t="s">
        <v>225</v>
      </c>
      <c r="D448" s="278" t="s">
        <v>215</v>
      </c>
      <c r="E448" s="280">
        <v>42020</v>
      </c>
      <c r="F448" s="281" t="s">
        <v>113</v>
      </c>
      <c r="G448" s="282" t="s">
        <v>160</v>
      </c>
      <c r="H448" s="283" t="s">
        <v>159</v>
      </c>
      <c r="I448" s="284" t="s">
        <v>97</v>
      </c>
      <c r="J448" s="285">
        <v>138164.87745373789</v>
      </c>
      <c r="K448" s="285">
        <v>2544</v>
      </c>
      <c r="L448" s="285">
        <f t="shared" si="69"/>
        <v>351491448</v>
      </c>
      <c r="M448" s="285"/>
      <c r="N448" s="285">
        <f t="shared" si="70"/>
        <v>0</v>
      </c>
      <c r="O448" s="15" t="str">
        <f>IF(AND(A448='BANG KE NL'!$M$11,TH!C448="NL",LEFT(D448,1)="N"),"x","")</f>
        <v/>
      </c>
    </row>
    <row r="449" spans="1:15" s="286" customFormat="1" hidden="1">
      <c r="A449" s="24">
        <f t="shared" si="65"/>
        <v>1</v>
      </c>
      <c r="B449" s="176" t="str">
        <f>IF(AND(MONTH(E449)='IN-NX'!$J$5,'IN-NX'!$D$7=(D449&amp;"/"&amp;C449)),"x","")</f>
        <v/>
      </c>
      <c r="C449" s="278" t="s">
        <v>225</v>
      </c>
      <c r="D449" s="278" t="s">
        <v>220</v>
      </c>
      <c r="E449" s="280">
        <v>42010</v>
      </c>
      <c r="F449" s="281" t="s">
        <v>96</v>
      </c>
      <c r="G449" s="282" t="s">
        <v>161</v>
      </c>
      <c r="H449" s="287" t="s">
        <v>117</v>
      </c>
      <c r="I449" s="284" t="s">
        <v>159</v>
      </c>
      <c r="J449" s="285">
        <v>220774.36600877193</v>
      </c>
      <c r="K449" s="285"/>
      <c r="L449" s="285">
        <f t="shared" si="69"/>
        <v>0</v>
      </c>
      <c r="M449" s="285">
        <v>4560</v>
      </c>
      <c r="N449" s="285">
        <f t="shared" si="70"/>
        <v>1006731109</v>
      </c>
      <c r="O449" s="15" t="str">
        <f>IF(AND(A449='BANG KE NL'!$M$11,TH!C449="NL",LEFT(D449,1)="N"),"x","")</f>
        <v/>
      </c>
    </row>
    <row r="450" spans="1:15" s="286" customFormat="1" hidden="1">
      <c r="A450" s="24">
        <f t="shared" si="65"/>
        <v>1</v>
      </c>
      <c r="B450" s="176" t="str">
        <f>IF(AND(MONTH(E450)='IN-NX'!$J$5,'IN-NX'!$D$7=(D450&amp;"/"&amp;C450)),"x","")</f>
        <v/>
      </c>
      <c r="C450" s="278" t="s">
        <v>225</v>
      </c>
      <c r="D450" s="278" t="s">
        <v>221</v>
      </c>
      <c r="E450" s="280">
        <v>42012</v>
      </c>
      <c r="F450" s="281" t="s">
        <v>113</v>
      </c>
      <c r="G450" s="282" t="s">
        <v>162</v>
      </c>
      <c r="H450" s="287" t="s">
        <v>117</v>
      </c>
      <c r="I450" s="284" t="s">
        <v>159</v>
      </c>
      <c r="J450" s="285">
        <v>138164.87745373789</v>
      </c>
      <c r="K450" s="285"/>
      <c r="L450" s="285">
        <f t="shared" si="69"/>
        <v>0</v>
      </c>
      <c r="M450" s="285">
        <v>2544</v>
      </c>
      <c r="N450" s="285">
        <f t="shared" si="70"/>
        <v>351491448</v>
      </c>
      <c r="O450" s="15" t="str">
        <f>IF(AND(A450='BANG KE NL'!$M$11,TH!C450="NL",LEFT(D450,1)="N"),"x","")</f>
        <v/>
      </c>
    </row>
    <row r="451" spans="1:15" s="286" customFormat="1" hidden="1">
      <c r="A451" s="24">
        <f t="shared" si="65"/>
        <v>1</v>
      </c>
      <c r="B451" s="176" t="str">
        <f>IF(AND(MONTH(E451)='IN-NX'!$J$5,'IN-NX'!$D$7=(D451&amp;"/"&amp;C451)),"x","")</f>
        <v/>
      </c>
      <c r="C451" s="278" t="s">
        <v>225</v>
      </c>
      <c r="D451" s="278" t="s">
        <v>222</v>
      </c>
      <c r="E451" s="280">
        <v>42020</v>
      </c>
      <c r="F451" s="281" t="s">
        <v>113</v>
      </c>
      <c r="G451" s="282" t="s">
        <v>162</v>
      </c>
      <c r="H451" s="287" t="s">
        <v>117</v>
      </c>
      <c r="I451" s="284" t="s">
        <v>159</v>
      </c>
      <c r="J451" s="285">
        <v>138164.87745373789</v>
      </c>
      <c r="K451" s="285"/>
      <c r="L451" s="285">
        <f t="shared" si="69"/>
        <v>0</v>
      </c>
      <c r="M451" s="285">
        <v>2544</v>
      </c>
      <c r="N451" s="285">
        <f t="shared" si="70"/>
        <v>351491448</v>
      </c>
      <c r="O451" s="15" t="str">
        <f>IF(AND(A451='BANG KE NL'!$M$11,TH!C451="NL",LEFT(D451,1)="N"),"x","")</f>
        <v/>
      </c>
    </row>
    <row r="452" spans="1:15" s="286" customFormat="1" hidden="1">
      <c r="A452" s="24">
        <f t="shared" ref="A452:A453" si="71">IF(E452&lt;&gt;"",MONTH(E452),"")</f>
        <v>2</v>
      </c>
      <c r="B452" s="176" t="str">
        <f>IF(AND(MONTH(E452)='IN-NX'!$J$5,'IN-NX'!$D$7=(D452&amp;"/"&amp;C452)),"x","")</f>
        <v/>
      </c>
      <c r="C452" s="278" t="s">
        <v>225</v>
      </c>
      <c r="D452" s="278" t="s">
        <v>214</v>
      </c>
      <c r="E452" s="280">
        <v>42062</v>
      </c>
      <c r="F452" s="281" t="s">
        <v>122</v>
      </c>
      <c r="G452" s="282" t="s">
        <v>160</v>
      </c>
      <c r="H452" s="283" t="s">
        <v>159</v>
      </c>
      <c r="I452" s="284" t="s">
        <v>97</v>
      </c>
      <c r="J452" s="285">
        <v>165111.55499117912</v>
      </c>
      <c r="K452" s="285">
        <v>1200</v>
      </c>
      <c r="L452" s="285">
        <f>ROUND(J452*K452,0)</f>
        <v>198133866</v>
      </c>
      <c r="M452" s="285"/>
      <c r="N452" s="285">
        <f>ROUND(J452*M452,0)</f>
        <v>0</v>
      </c>
      <c r="O452" s="15" t="str">
        <f>IF(AND(A452='BANG KE NL'!$M$11,TH!C452="NL",LEFT(D452,1)="N"),"x","")</f>
        <v/>
      </c>
    </row>
    <row r="453" spans="1:15" s="286" customFormat="1" hidden="1">
      <c r="A453" s="24">
        <f t="shared" si="71"/>
        <v>2</v>
      </c>
      <c r="B453" s="176" t="str">
        <f>IF(AND(MONTH(E453)='IN-NX'!$J$5,'IN-NX'!$D$7=(D453&amp;"/"&amp;C453)),"x","")</f>
        <v/>
      </c>
      <c r="C453" s="278" t="s">
        <v>225</v>
      </c>
      <c r="D453" s="278" t="s">
        <v>214</v>
      </c>
      <c r="E453" s="280">
        <v>42062</v>
      </c>
      <c r="F453" s="281" t="s">
        <v>121</v>
      </c>
      <c r="G453" s="282" t="s">
        <v>160</v>
      </c>
      <c r="H453" s="283" t="s">
        <v>159</v>
      </c>
      <c r="I453" s="284" t="s">
        <v>97</v>
      </c>
      <c r="J453" s="285">
        <v>168850.12711593547</v>
      </c>
      <c r="K453" s="285">
        <v>1620</v>
      </c>
      <c r="L453" s="285">
        <f t="shared" si="69"/>
        <v>273537206</v>
      </c>
      <c r="M453" s="285"/>
      <c r="N453" s="285">
        <f t="shared" si="70"/>
        <v>0</v>
      </c>
      <c r="O453" s="15" t="str">
        <f>IF(AND(A453='BANG KE NL'!$M$11,TH!C453="NL",LEFT(D453,1)="N"),"x","")</f>
        <v/>
      </c>
    </row>
    <row r="454" spans="1:15" s="286" customFormat="1" hidden="1">
      <c r="A454" s="24">
        <f t="shared" si="21"/>
        <v>2</v>
      </c>
      <c r="B454" s="176" t="str">
        <f>IF(AND(MONTH(E454)='IN-NX'!$J$5,'IN-NX'!$D$7=(D454&amp;"/"&amp;C454)),"x","")</f>
        <v/>
      </c>
      <c r="C454" s="278" t="s">
        <v>225</v>
      </c>
      <c r="D454" s="278" t="s">
        <v>214</v>
      </c>
      <c r="E454" s="280">
        <v>42062</v>
      </c>
      <c r="F454" s="281" t="s">
        <v>118</v>
      </c>
      <c r="G454" s="282" t="s">
        <v>160</v>
      </c>
      <c r="H454" s="283" t="s">
        <v>159</v>
      </c>
      <c r="I454" s="284" t="s">
        <v>97</v>
      </c>
      <c r="J454" s="285">
        <v>166673.70119000954</v>
      </c>
      <c r="K454" s="285">
        <v>12000</v>
      </c>
      <c r="L454" s="285">
        <f t="shared" si="69"/>
        <v>2000084414</v>
      </c>
      <c r="M454" s="285"/>
      <c r="N454" s="285">
        <f t="shared" si="70"/>
        <v>0</v>
      </c>
      <c r="O454" s="15" t="str">
        <f>IF(AND(A454='BANG KE NL'!$M$11,TH!C454="NL",LEFT(D454,1)="N"),"x","")</f>
        <v/>
      </c>
    </row>
    <row r="455" spans="1:15" s="286" customFormat="1" hidden="1">
      <c r="A455" s="24">
        <f t="shared" ref="A455:A518" si="72">IF(E455&lt;&gt;"",MONTH(E455),"")</f>
        <v>2</v>
      </c>
      <c r="B455" s="176" t="str">
        <f>IF(AND(MONTH(E455)='IN-NX'!$J$5,'IN-NX'!$D$7=(D455&amp;"/"&amp;C455)),"x","")</f>
        <v/>
      </c>
      <c r="C455" s="278" t="s">
        <v>225</v>
      </c>
      <c r="D455" s="278" t="s">
        <v>214</v>
      </c>
      <c r="E455" s="280">
        <v>42062</v>
      </c>
      <c r="F455" s="281" t="s">
        <v>119</v>
      </c>
      <c r="G455" s="282" t="s">
        <v>160</v>
      </c>
      <c r="H455" s="283" t="s">
        <v>159</v>
      </c>
      <c r="I455" s="284" t="s">
        <v>97</v>
      </c>
      <c r="J455" s="285">
        <v>127669.03107100858</v>
      </c>
      <c r="K455" s="285">
        <v>6000</v>
      </c>
      <c r="L455" s="285">
        <f t="shared" si="69"/>
        <v>766014186</v>
      </c>
      <c r="M455" s="285"/>
      <c r="N455" s="285">
        <f t="shared" si="70"/>
        <v>0</v>
      </c>
      <c r="O455" s="15" t="str">
        <f>IF(AND(A455='BANG KE NL'!$M$11,TH!C455="NL",LEFT(D455,1)="N"),"x","")</f>
        <v/>
      </c>
    </row>
    <row r="456" spans="1:15" s="286" customFormat="1" hidden="1">
      <c r="A456" s="24">
        <f t="shared" si="72"/>
        <v>2</v>
      </c>
      <c r="B456" s="176" t="str">
        <f>IF(AND(MONTH(E456)='IN-NX'!$J$5,'IN-NX'!$D$7=(D456&amp;"/"&amp;C456)),"x","")</f>
        <v/>
      </c>
      <c r="C456" s="278" t="s">
        <v>225</v>
      </c>
      <c r="D456" s="278" t="s">
        <v>215</v>
      </c>
      <c r="E456" s="280">
        <v>42063</v>
      </c>
      <c r="F456" s="281" t="s">
        <v>122</v>
      </c>
      <c r="G456" s="282" t="s">
        <v>160</v>
      </c>
      <c r="H456" s="283" t="s">
        <v>159</v>
      </c>
      <c r="I456" s="284" t="s">
        <v>97</v>
      </c>
      <c r="J456" s="285">
        <v>165111.55499117912</v>
      </c>
      <c r="K456" s="285">
        <v>2220</v>
      </c>
      <c r="L456" s="285">
        <f>ROUND(J456*K456,0)</f>
        <v>366547652</v>
      </c>
      <c r="M456" s="285"/>
      <c r="N456" s="285">
        <f>ROUND(J456*M456,0)</f>
        <v>0</v>
      </c>
      <c r="O456" s="15" t="str">
        <f>IF(AND(A456='BANG KE NL'!$M$11,TH!C456="NL",LEFT(D456,1)="N"),"x","")</f>
        <v/>
      </c>
    </row>
    <row r="457" spans="1:15" s="286" customFormat="1" hidden="1">
      <c r="A457" s="24">
        <f t="shared" si="72"/>
        <v>2</v>
      </c>
      <c r="B457" s="176" t="str">
        <f>IF(AND(MONTH(E457)='IN-NX'!$J$5,'IN-NX'!$D$7=(D457&amp;"/"&amp;C457)),"x","")</f>
        <v/>
      </c>
      <c r="C457" s="278" t="s">
        <v>225</v>
      </c>
      <c r="D457" s="278" t="s">
        <v>215</v>
      </c>
      <c r="E457" s="280">
        <v>42063</v>
      </c>
      <c r="F457" s="281" t="s">
        <v>121</v>
      </c>
      <c r="G457" s="282" t="s">
        <v>160</v>
      </c>
      <c r="H457" s="283" t="s">
        <v>159</v>
      </c>
      <c r="I457" s="284" t="s">
        <v>97</v>
      </c>
      <c r="J457" s="285">
        <v>168850.12711593547</v>
      </c>
      <c r="K457" s="285">
        <v>2916</v>
      </c>
      <c r="L457" s="285">
        <f t="shared" si="69"/>
        <v>492366971</v>
      </c>
      <c r="M457" s="285"/>
      <c r="N457" s="285">
        <f t="shared" si="70"/>
        <v>0</v>
      </c>
      <c r="O457" s="15" t="str">
        <f>IF(AND(A457='BANG KE NL'!$M$11,TH!C457="NL",LEFT(D457,1)="N"),"x","")</f>
        <v/>
      </c>
    </row>
    <row r="458" spans="1:15" s="286" customFormat="1" hidden="1">
      <c r="A458" s="24">
        <f t="shared" si="72"/>
        <v>2</v>
      </c>
      <c r="B458" s="176" t="str">
        <f>IF(AND(MONTH(E458)='IN-NX'!$J$5,'IN-NX'!$D$7=(D458&amp;"/"&amp;C458)),"x","")</f>
        <v/>
      </c>
      <c r="C458" s="278" t="s">
        <v>225</v>
      </c>
      <c r="D458" s="278" t="s">
        <v>215</v>
      </c>
      <c r="E458" s="280">
        <v>42063</v>
      </c>
      <c r="F458" s="281" t="s">
        <v>118</v>
      </c>
      <c r="G458" s="282" t="s">
        <v>160</v>
      </c>
      <c r="H458" s="283" t="s">
        <v>159</v>
      </c>
      <c r="I458" s="284" t="s">
        <v>97</v>
      </c>
      <c r="J458" s="285">
        <v>166673.70119000954</v>
      </c>
      <c r="K458" s="285">
        <v>3000</v>
      </c>
      <c r="L458" s="285">
        <f t="shared" si="69"/>
        <v>500021104</v>
      </c>
      <c r="M458" s="285"/>
      <c r="N458" s="285">
        <f t="shared" si="70"/>
        <v>0</v>
      </c>
      <c r="O458" s="15" t="str">
        <f>IF(AND(A458='BANG KE NL'!$M$11,TH!C458="NL",LEFT(D458,1)="N"),"x","")</f>
        <v/>
      </c>
    </row>
    <row r="459" spans="1:15" s="286" customFormat="1" hidden="1">
      <c r="A459" s="24">
        <f t="shared" si="72"/>
        <v>2</v>
      </c>
      <c r="B459" s="176" t="str">
        <f>IF(AND(MONTH(E459)='IN-NX'!$J$5,'IN-NX'!$D$7=(D459&amp;"/"&amp;C459)),"x","")</f>
        <v/>
      </c>
      <c r="C459" s="278" t="s">
        <v>225</v>
      </c>
      <c r="D459" s="278" t="s">
        <v>215</v>
      </c>
      <c r="E459" s="280">
        <v>42063</v>
      </c>
      <c r="F459" s="281" t="s">
        <v>120</v>
      </c>
      <c r="G459" s="282" t="s">
        <v>160</v>
      </c>
      <c r="H459" s="283" t="s">
        <v>159</v>
      </c>
      <c r="I459" s="284" t="s">
        <v>97</v>
      </c>
      <c r="J459" s="285">
        <v>139044.69773767525</v>
      </c>
      <c r="K459" s="285">
        <v>4050</v>
      </c>
      <c r="L459" s="285">
        <f t="shared" si="69"/>
        <v>563131026</v>
      </c>
      <c r="M459" s="285"/>
      <c r="N459" s="285">
        <f t="shared" si="70"/>
        <v>0</v>
      </c>
      <c r="O459" s="15" t="str">
        <f>IF(AND(A459='BANG KE NL'!$M$11,TH!C459="NL",LEFT(D459,1)="N"),"x","")</f>
        <v/>
      </c>
    </row>
    <row r="460" spans="1:15" s="286" customFormat="1" hidden="1">
      <c r="A460" s="24">
        <f t="shared" si="72"/>
        <v>2</v>
      </c>
      <c r="B460" s="176" t="str">
        <f>IF(AND(MONTH(E460)='IN-NX'!$J$5,'IN-NX'!$D$7=(D460&amp;"/"&amp;C460)),"x","")</f>
        <v/>
      </c>
      <c r="C460" s="278" t="s">
        <v>225</v>
      </c>
      <c r="D460" s="278" t="s">
        <v>223</v>
      </c>
      <c r="E460" s="280">
        <v>42062</v>
      </c>
      <c r="F460" s="281" t="s">
        <v>122</v>
      </c>
      <c r="G460" s="282" t="s">
        <v>164</v>
      </c>
      <c r="H460" s="287" t="s">
        <v>117</v>
      </c>
      <c r="I460" s="284" t="s">
        <v>159</v>
      </c>
      <c r="J460" s="285">
        <v>165111.55499117912</v>
      </c>
      <c r="K460" s="285"/>
      <c r="L460" s="285">
        <f>ROUND(J460*K460,0)</f>
        <v>0</v>
      </c>
      <c r="M460" s="285">
        <v>1200</v>
      </c>
      <c r="N460" s="285">
        <f>ROUND(J460*M460,0)</f>
        <v>198133866</v>
      </c>
      <c r="O460" s="15" t="str">
        <f>IF(AND(A460='BANG KE NL'!$M$11,TH!C460="NL",LEFT(D460,1)="N"),"x","")</f>
        <v/>
      </c>
    </row>
    <row r="461" spans="1:15" s="286" customFormat="1" hidden="1">
      <c r="A461" s="24">
        <f t="shared" si="72"/>
        <v>2</v>
      </c>
      <c r="B461" s="176" t="str">
        <f>IF(AND(MONTH(E461)='IN-NX'!$J$5,'IN-NX'!$D$7=(D461&amp;"/"&amp;C461)),"x","")</f>
        <v/>
      </c>
      <c r="C461" s="278" t="s">
        <v>225</v>
      </c>
      <c r="D461" s="278" t="s">
        <v>223</v>
      </c>
      <c r="E461" s="280">
        <v>42062</v>
      </c>
      <c r="F461" s="281" t="s">
        <v>121</v>
      </c>
      <c r="G461" s="282" t="s">
        <v>164</v>
      </c>
      <c r="H461" s="287" t="s">
        <v>117</v>
      </c>
      <c r="I461" s="284" t="s">
        <v>159</v>
      </c>
      <c r="J461" s="285">
        <v>168850.12711593547</v>
      </c>
      <c r="K461" s="285"/>
      <c r="L461" s="285">
        <f t="shared" si="69"/>
        <v>0</v>
      </c>
      <c r="M461" s="285">
        <v>1620</v>
      </c>
      <c r="N461" s="285">
        <f t="shared" si="70"/>
        <v>273537206</v>
      </c>
      <c r="O461" s="15" t="str">
        <f>IF(AND(A461='BANG KE NL'!$M$11,TH!C461="NL",LEFT(D461,1)="N"),"x","")</f>
        <v/>
      </c>
    </row>
    <row r="462" spans="1:15" s="286" customFormat="1" hidden="1">
      <c r="A462" s="24">
        <f t="shared" si="72"/>
        <v>2</v>
      </c>
      <c r="B462" s="176" t="str">
        <f>IF(AND(MONTH(E462)='IN-NX'!$J$5,'IN-NX'!$D$7=(D462&amp;"/"&amp;C462)),"x","")</f>
        <v/>
      </c>
      <c r="C462" s="278" t="s">
        <v>225</v>
      </c>
      <c r="D462" s="278" t="s">
        <v>223</v>
      </c>
      <c r="E462" s="280">
        <v>42062</v>
      </c>
      <c r="F462" s="281" t="s">
        <v>118</v>
      </c>
      <c r="G462" s="282" t="s">
        <v>164</v>
      </c>
      <c r="H462" s="287" t="s">
        <v>117</v>
      </c>
      <c r="I462" s="284" t="s">
        <v>159</v>
      </c>
      <c r="J462" s="285">
        <v>166673.70119000954</v>
      </c>
      <c r="K462" s="285"/>
      <c r="L462" s="285">
        <f t="shared" si="69"/>
        <v>0</v>
      </c>
      <c r="M462" s="285">
        <v>12000</v>
      </c>
      <c r="N462" s="285">
        <f t="shared" si="70"/>
        <v>2000084414</v>
      </c>
      <c r="O462" s="15" t="str">
        <f>IF(AND(A462='BANG KE NL'!$M$11,TH!C462="NL",LEFT(D462,1)="N"),"x","")</f>
        <v/>
      </c>
    </row>
    <row r="463" spans="1:15" s="286" customFormat="1" hidden="1">
      <c r="A463" s="24">
        <f t="shared" si="72"/>
        <v>2</v>
      </c>
      <c r="B463" s="176" t="str">
        <f>IF(AND(MONTH(E463)='IN-NX'!$J$5,'IN-NX'!$D$7=(D463&amp;"/"&amp;C463)),"x","")</f>
        <v/>
      </c>
      <c r="C463" s="278" t="s">
        <v>225</v>
      </c>
      <c r="D463" s="278" t="s">
        <v>223</v>
      </c>
      <c r="E463" s="280">
        <v>42062</v>
      </c>
      <c r="F463" s="281" t="s">
        <v>119</v>
      </c>
      <c r="G463" s="282" t="s">
        <v>164</v>
      </c>
      <c r="H463" s="287" t="s">
        <v>117</v>
      </c>
      <c r="I463" s="284" t="s">
        <v>159</v>
      </c>
      <c r="J463" s="285">
        <v>127669.03107100858</v>
      </c>
      <c r="K463" s="285"/>
      <c r="L463" s="285">
        <f t="shared" si="69"/>
        <v>0</v>
      </c>
      <c r="M463" s="285">
        <v>6000</v>
      </c>
      <c r="N463" s="285">
        <f t="shared" si="70"/>
        <v>766014186</v>
      </c>
      <c r="O463" s="15" t="str">
        <f>IF(AND(A463='BANG KE NL'!$M$11,TH!C463="NL",LEFT(D463,1)="N"),"x","")</f>
        <v/>
      </c>
    </row>
    <row r="464" spans="1:15" s="286" customFormat="1" hidden="1">
      <c r="A464" s="24">
        <f t="shared" si="72"/>
        <v>2</v>
      </c>
      <c r="B464" s="176" t="str">
        <f>IF(AND(MONTH(E464)='IN-NX'!$J$5,'IN-NX'!$D$7=(D464&amp;"/"&amp;C464)),"x","")</f>
        <v/>
      </c>
      <c r="C464" s="278" t="s">
        <v>225</v>
      </c>
      <c r="D464" s="278" t="s">
        <v>220</v>
      </c>
      <c r="E464" s="280">
        <v>42038</v>
      </c>
      <c r="F464" s="281" t="s">
        <v>126</v>
      </c>
      <c r="G464" s="282" t="s">
        <v>163</v>
      </c>
      <c r="H464" s="283" t="s">
        <v>117</v>
      </c>
      <c r="I464" s="284" t="s">
        <v>159</v>
      </c>
      <c r="J464" s="285">
        <v>131772.95452380952</v>
      </c>
      <c r="K464" s="285"/>
      <c r="L464" s="285">
        <f t="shared" si="69"/>
        <v>0</v>
      </c>
      <c r="M464" s="285">
        <v>4875</v>
      </c>
      <c r="N464" s="285">
        <f t="shared" si="70"/>
        <v>642393153</v>
      </c>
      <c r="O464" s="15" t="str">
        <f>IF(AND(A464='BANG KE NL'!$M$11,TH!C464="NL",LEFT(D464,1)="N"),"x","")</f>
        <v/>
      </c>
    </row>
    <row r="465" spans="1:15" s="286" customFormat="1" hidden="1">
      <c r="A465" s="24">
        <f t="shared" si="72"/>
        <v>2</v>
      </c>
      <c r="B465" s="176" t="str">
        <f>IF(AND(MONTH(E465)='IN-NX'!$J$5,'IN-NX'!$D$7=(D465&amp;"/"&amp;C465)),"x","")</f>
        <v/>
      </c>
      <c r="C465" s="278" t="s">
        <v>225</v>
      </c>
      <c r="D465" s="278" t="s">
        <v>220</v>
      </c>
      <c r="E465" s="280">
        <v>42038</v>
      </c>
      <c r="F465" s="281" t="s">
        <v>126</v>
      </c>
      <c r="G465" s="282" t="s">
        <v>163</v>
      </c>
      <c r="H465" s="283" t="s">
        <v>117</v>
      </c>
      <c r="I465" s="284" t="s">
        <v>159</v>
      </c>
      <c r="J465" s="285">
        <v>132774.64933333333</v>
      </c>
      <c r="K465" s="285"/>
      <c r="L465" s="285">
        <f t="shared" si="69"/>
        <v>0</v>
      </c>
      <c r="M465" s="285">
        <v>3000</v>
      </c>
      <c r="N465" s="285">
        <f t="shared" si="70"/>
        <v>398323948</v>
      </c>
      <c r="O465" s="15" t="str">
        <f>IF(AND(A465='BANG KE NL'!$M$11,TH!C465="NL",LEFT(D465,1)="N"),"x","")</f>
        <v/>
      </c>
    </row>
    <row r="466" spans="1:15" s="286" customFormat="1" hidden="1">
      <c r="A466" s="24">
        <f t="shared" si="72"/>
        <v>2</v>
      </c>
      <c r="B466" s="176" t="str">
        <f>IF(AND(MONTH(E466)='IN-NX'!$J$5,'IN-NX'!$D$7=(D466&amp;"/"&amp;C466)),"x","")</f>
        <v/>
      </c>
      <c r="C466" s="278" t="s">
        <v>225</v>
      </c>
      <c r="D466" s="278" t="s">
        <v>220</v>
      </c>
      <c r="E466" s="280">
        <v>42038</v>
      </c>
      <c r="F466" s="281" t="s">
        <v>126</v>
      </c>
      <c r="G466" s="282" t="s">
        <v>163</v>
      </c>
      <c r="H466" s="287" t="s">
        <v>117</v>
      </c>
      <c r="I466" s="284" t="s">
        <v>159</v>
      </c>
      <c r="J466" s="285">
        <v>129169.10233333333</v>
      </c>
      <c r="K466" s="285"/>
      <c r="L466" s="285">
        <f t="shared" si="69"/>
        <v>0</v>
      </c>
      <c r="M466" s="285">
        <v>3000</v>
      </c>
      <c r="N466" s="285">
        <f t="shared" si="70"/>
        <v>387507307</v>
      </c>
      <c r="O466" s="15" t="str">
        <f>IF(AND(A466='BANG KE NL'!$M$11,TH!C466="NL",LEFT(D466,1)="N"),"x","")</f>
        <v/>
      </c>
    </row>
    <row r="467" spans="1:15" s="286" customFormat="1" hidden="1">
      <c r="A467" s="24">
        <f t="shared" si="72"/>
        <v>2</v>
      </c>
      <c r="B467" s="176" t="str">
        <f>IF(AND(MONTH(E467)='IN-NX'!$J$5,'IN-NX'!$D$7=(D467&amp;"/"&amp;C467)),"x","")</f>
        <v/>
      </c>
      <c r="C467" s="278" t="s">
        <v>225</v>
      </c>
      <c r="D467" s="278" t="s">
        <v>220</v>
      </c>
      <c r="E467" s="280">
        <v>42038</v>
      </c>
      <c r="F467" s="281" t="s">
        <v>126</v>
      </c>
      <c r="G467" s="282" t="s">
        <v>163</v>
      </c>
      <c r="H467" s="287" t="s">
        <v>117</v>
      </c>
      <c r="I467" s="284" t="s">
        <v>159</v>
      </c>
      <c r="J467" s="285">
        <v>127082.22943005181</v>
      </c>
      <c r="K467" s="285"/>
      <c r="L467" s="285">
        <f t="shared" si="69"/>
        <v>0</v>
      </c>
      <c r="M467" s="285">
        <v>4875</v>
      </c>
      <c r="N467" s="285">
        <f t="shared" si="70"/>
        <v>619525868</v>
      </c>
      <c r="O467" s="15" t="str">
        <f>IF(AND(A467='BANG KE NL'!$M$11,TH!C467="NL",LEFT(D467,1)="N"),"x","")</f>
        <v/>
      </c>
    </row>
    <row r="468" spans="1:15" s="286" customFormat="1" hidden="1">
      <c r="A468" s="24">
        <f t="shared" si="72"/>
        <v>2</v>
      </c>
      <c r="B468" s="176" t="str">
        <f>IF(AND(MONTH(E468)='IN-NX'!$J$5,'IN-NX'!$D$7=(D468&amp;"/"&amp;C468)),"x","")</f>
        <v/>
      </c>
      <c r="C468" s="278" t="s">
        <v>225</v>
      </c>
      <c r="D468" s="278" t="s">
        <v>221</v>
      </c>
      <c r="E468" s="280">
        <v>42038</v>
      </c>
      <c r="F468" s="281" t="s">
        <v>114</v>
      </c>
      <c r="G468" s="282" t="s">
        <v>163</v>
      </c>
      <c r="H468" s="287" t="s">
        <v>117</v>
      </c>
      <c r="I468" s="284" t="s">
        <v>159</v>
      </c>
      <c r="J468" s="285">
        <v>140885.51393213574</v>
      </c>
      <c r="K468" s="285"/>
      <c r="L468" s="285">
        <f t="shared" si="69"/>
        <v>0</v>
      </c>
      <c r="M468" s="285">
        <v>4970</v>
      </c>
      <c r="N468" s="285">
        <f t="shared" si="70"/>
        <v>700201004</v>
      </c>
      <c r="O468" s="15" t="str">
        <f>IF(AND(A468='BANG KE NL'!$M$11,TH!C468="NL",LEFT(D468,1)="N"),"x","")</f>
        <v/>
      </c>
    </row>
    <row r="469" spans="1:15" s="286" customFormat="1" hidden="1">
      <c r="A469" s="24">
        <f t="shared" si="72"/>
        <v>2</v>
      </c>
      <c r="B469" s="176" t="str">
        <f>IF(AND(MONTH(E469)='IN-NX'!$J$5,'IN-NX'!$D$7=(D469&amp;"/"&amp;C469)),"x","")</f>
        <v/>
      </c>
      <c r="C469" s="278" t="s">
        <v>225</v>
      </c>
      <c r="D469" s="278" t="s">
        <v>221</v>
      </c>
      <c r="E469" s="280">
        <v>42038</v>
      </c>
      <c r="F469" s="281" t="s">
        <v>114</v>
      </c>
      <c r="G469" s="282" t="s">
        <v>163</v>
      </c>
      <c r="H469" s="287" t="s">
        <v>117</v>
      </c>
      <c r="I469" s="284" t="s">
        <v>159</v>
      </c>
      <c r="J469" s="285">
        <v>141846.48348623852</v>
      </c>
      <c r="K469" s="285"/>
      <c r="L469" s="285">
        <f t="shared" si="69"/>
        <v>0</v>
      </c>
      <c r="M469" s="285">
        <v>6540</v>
      </c>
      <c r="N469" s="285">
        <f t="shared" si="70"/>
        <v>927676002</v>
      </c>
      <c r="O469" s="15" t="str">
        <f>IF(AND(A469='BANG KE NL'!$M$11,TH!C469="NL",LEFT(D469,1)="N"),"x","")</f>
        <v/>
      </c>
    </row>
    <row r="470" spans="1:15" s="286" customFormat="1" hidden="1">
      <c r="A470" s="24">
        <f t="shared" si="72"/>
        <v>2</v>
      </c>
      <c r="B470" s="176" t="str">
        <f>IF(AND(MONTH(E470)='IN-NX'!$J$5,'IN-NX'!$D$7=(D470&amp;"/"&amp;C470)),"x","")</f>
        <v/>
      </c>
      <c r="C470" s="278" t="s">
        <v>225</v>
      </c>
      <c r="D470" s="278" t="s">
        <v>221</v>
      </c>
      <c r="E470" s="280">
        <v>42038</v>
      </c>
      <c r="F470" s="281" t="s">
        <v>114</v>
      </c>
      <c r="G470" s="282" t="s">
        <v>163</v>
      </c>
      <c r="H470" s="287" t="s">
        <v>117</v>
      </c>
      <c r="I470" s="284" t="s">
        <v>159</v>
      </c>
      <c r="J470" s="285">
        <v>139827.72890173411</v>
      </c>
      <c r="K470" s="285"/>
      <c r="L470" s="285">
        <f t="shared" si="69"/>
        <v>0</v>
      </c>
      <c r="M470" s="285">
        <v>2365</v>
      </c>
      <c r="N470" s="285">
        <f t="shared" si="70"/>
        <v>330692579</v>
      </c>
      <c r="O470" s="15" t="str">
        <f>IF(AND(A470='BANG KE NL'!$M$11,TH!C470="NL",LEFT(D470,1)="N"),"x","")</f>
        <v/>
      </c>
    </row>
    <row r="471" spans="1:15" s="286" customFormat="1" hidden="1">
      <c r="A471" s="24">
        <f t="shared" si="72"/>
        <v>2</v>
      </c>
      <c r="B471" s="176" t="str">
        <f>IF(AND(MONTH(E471)='IN-NX'!$J$5,'IN-NX'!$D$7=(D471&amp;"/"&amp;C471)),"x","")</f>
        <v/>
      </c>
      <c r="C471" s="278" t="s">
        <v>225</v>
      </c>
      <c r="D471" s="278" t="s">
        <v>222</v>
      </c>
      <c r="E471" s="280">
        <v>42038</v>
      </c>
      <c r="F471" s="281" t="s">
        <v>115</v>
      </c>
      <c r="G471" s="282" t="s">
        <v>163</v>
      </c>
      <c r="H471" s="287" t="s">
        <v>117</v>
      </c>
      <c r="I471" s="284" t="s">
        <v>159</v>
      </c>
      <c r="J471" s="285">
        <v>154316.30961111112</v>
      </c>
      <c r="K471" s="285"/>
      <c r="L471" s="285">
        <f t="shared" si="69"/>
        <v>0</v>
      </c>
      <c r="M471" s="285">
        <v>11042</v>
      </c>
      <c r="N471" s="285">
        <f t="shared" si="70"/>
        <v>1703960691</v>
      </c>
      <c r="O471" s="15" t="str">
        <f>IF(AND(A471='BANG KE NL'!$M$11,TH!C471="NL",LEFT(D471,1)="N"),"x","")</f>
        <v/>
      </c>
    </row>
    <row r="472" spans="1:15" s="286" customFormat="1" hidden="1">
      <c r="A472" s="24">
        <f t="shared" si="72"/>
        <v>2</v>
      </c>
      <c r="B472" s="176" t="str">
        <f>IF(AND(MONTH(E472)='IN-NX'!$J$5,'IN-NX'!$D$7=(D472&amp;"/"&amp;C472)),"x","")</f>
        <v/>
      </c>
      <c r="C472" s="278" t="s">
        <v>225</v>
      </c>
      <c r="D472" s="278" t="s">
        <v>222</v>
      </c>
      <c r="E472" s="280">
        <v>42038</v>
      </c>
      <c r="F472" s="281" t="s">
        <v>115</v>
      </c>
      <c r="G472" s="282" t="s">
        <v>163</v>
      </c>
      <c r="H472" s="287" t="s">
        <v>117</v>
      </c>
      <c r="I472" s="284" t="s">
        <v>159</v>
      </c>
      <c r="J472" s="285">
        <v>157390.07617260789</v>
      </c>
      <c r="K472" s="285"/>
      <c r="L472" s="285">
        <f t="shared" si="69"/>
        <v>0</v>
      </c>
      <c r="M472" s="285">
        <v>1333</v>
      </c>
      <c r="N472" s="285">
        <f t="shared" si="70"/>
        <v>209800972</v>
      </c>
      <c r="O472" s="15" t="str">
        <f>IF(AND(A472='BANG KE NL'!$M$11,TH!C472="NL",LEFT(D472,1)="N"),"x","")</f>
        <v/>
      </c>
    </row>
    <row r="473" spans="1:15" s="286" customFormat="1" hidden="1">
      <c r="A473" s="24">
        <f t="shared" si="72"/>
        <v>3</v>
      </c>
      <c r="B473" s="176" t="str">
        <f>IF(AND(MONTH(E473)='IN-NX'!$J$5,'IN-NX'!$D$7=(D473&amp;"/"&amp;C473)),"x","")</f>
        <v/>
      </c>
      <c r="C473" s="278" t="s">
        <v>225</v>
      </c>
      <c r="D473" s="278" t="s">
        <v>220</v>
      </c>
      <c r="E473" s="280">
        <v>42064</v>
      </c>
      <c r="F473" s="281" t="s">
        <v>122</v>
      </c>
      <c r="G473" s="282" t="s">
        <v>164</v>
      </c>
      <c r="H473" s="287" t="s">
        <v>117</v>
      </c>
      <c r="I473" s="284" t="s">
        <v>159</v>
      </c>
      <c r="J473" s="285">
        <v>165111.55499117912</v>
      </c>
      <c r="K473" s="285"/>
      <c r="L473" s="285">
        <f>ROUND(J473*K473,0)</f>
        <v>0</v>
      </c>
      <c r="M473" s="285">
        <v>2220</v>
      </c>
      <c r="N473" s="285">
        <f>ROUND(J473*M473,0)</f>
        <v>366547652</v>
      </c>
      <c r="O473" s="15" t="str">
        <f>IF(AND(A473='BANG KE NL'!$M$11,TH!C473="NL",LEFT(D473,1)="N"),"x","")</f>
        <v/>
      </c>
    </row>
    <row r="474" spans="1:15" s="286" customFormat="1" hidden="1">
      <c r="A474" s="24">
        <f t="shared" si="72"/>
        <v>3</v>
      </c>
      <c r="B474" s="176" t="str">
        <f>IF(AND(MONTH(E474)='IN-NX'!$J$5,'IN-NX'!$D$7=(D474&amp;"/"&amp;C474)),"x","")</f>
        <v/>
      </c>
      <c r="C474" s="278" t="s">
        <v>225</v>
      </c>
      <c r="D474" s="278" t="s">
        <v>220</v>
      </c>
      <c r="E474" s="280">
        <v>42064</v>
      </c>
      <c r="F474" s="281" t="s">
        <v>121</v>
      </c>
      <c r="G474" s="282" t="s">
        <v>164</v>
      </c>
      <c r="H474" s="287" t="s">
        <v>117</v>
      </c>
      <c r="I474" s="284" t="s">
        <v>159</v>
      </c>
      <c r="J474" s="285">
        <v>168850.12711593547</v>
      </c>
      <c r="K474" s="285"/>
      <c r="L474" s="285">
        <f t="shared" si="69"/>
        <v>0</v>
      </c>
      <c r="M474" s="285">
        <v>2916</v>
      </c>
      <c r="N474" s="285">
        <f t="shared" si="70"/>
        <v>492366971</v>
      </c>
      <c r="O474" s="15" t="str">
        <f>IF(AND(A474='BANG KE NL'!$M$11,TH!C474="NL",LEFT(D474,1)="N"),"x","")</f>
        <v/>
      </c>
    </row>
    <row r="475" spans="1:15" s="286" customFormat="1" hidden="1">
      <c r="A475" s="24">
        <f t="shared" si="72"/>
        <v>3</v>
      </c>
      <c r="B475" s="176" t="str">
        <f>IF(AND(MONTH(E475)='IN-NX'!$J$5,'IN-NX'!$D$7=(D475&amp;"/"&amp;C475)),"x","")</f>
        <v/>
      </c>
      <c r="C475" s="278" t="s">
        <v>225</v>
      </c>
      <c r="D475" s="278" t="s">
        <v>220</v>
      </c>
      <c r="E475" s="280">
        <v>42064</v>
      </c>
      <c r="F475" s="281" t="s">
        <v>118</v>
      </c>
      <c r="G475" s="282" t="s">
        <v>164</v>
      </c>
      <c r="H475" s="287" t="s">
        <v>117</v>
      </c>
      <c r="I475" s="284" t="s">
        <v>159</v>
      </c>
      <c r="J475" s="285">
        <v>166673.70119000954</v>
      </c>
      <c r="K475" s="285"/>
      <c r="L475" s="285">
        <f t="shared" si="69"/>
        <v>0</v>
      </c>
      <c r="M475" s="285">
        <v>3000</v>
      </c>
      <c r="N475" s="285">
        <f t="shared" si="70"/>
        <v>500021104</v>
      </c>
      <c r="O475" s="15" t="str">
        <f>IF(AND(A475='BANG KE NL'!$M$11,TH!C475="NL",LEFT(D475,1)="N"),"x","")</f>
        <v/>
      </c>
    </row>
    <row r="476" spans="1:15" s="286" customFormat="1" hidden="1">
      <c r="A476" s="24">
        <f t="shared" si="72"/>
        <v>3</v>
      </c>
      <c r="B476" s="176" t="str">
        <f>IF(AND(MONTH(E476)='IN-NX'!$J$5,'IN-NX'!$D$7=(D476&amp;"/"&amp;C476)),"x","")</f>
        <v/>
      </c>
      <c r="C476" s="278" t="s">
        <v>225</v>
      </c>
      <c r="D476" s="278" t="s">
        <v>220</v>
      </c>
      <c r="E476" s="280">
        <v>42064</v>
      </c>
      <c r="F476" s="281" t="s">
        <v>120</v>
      </c>
      <c r="G476" s="282" t="s">
        <v>164</v>
      </c>
      <c r="H476" s="287" t="s">
        <v>117</v>
      </c>
      <c r="I476" s="284" t="s">
        <v>159</v>
      </c>
      <c r="J476" s="285">
        <v>139044.69773767525</v>
      </c>
      <c r="K476" s="285"/>
      <c r="L476" s="285">
        <f t="shared" si="69"/>
        <v>0</v>
      </c>
      <c r="M476" s="285">
        <v>4050</v>
      </c>
      <c r="N476" s="285">
        <f t="shared" si="70"/>
        <v>563131026</v>
      </c>
      <c r="O476" s="15" t="str">
        <f>IF(AND(A476='BANG KE NL'!$M$11,TH!C476="NL",LEFT(D476,1)="N"),"x","")</f>
        <v/>
      </c>
    </row>
    <row r="477" spans="1:15" s="286" customFormat="1" hidden="1">
      <c r="A477" s="24">
        <f t="shared" si="72"/>
        <v>3</v>
      </c>
      <c r="B477" s="176" t="str">
        <f>IF(AND(MONTH(E477)='IN-NX'!$J$5,'IN-NX'!$D$7=(D477&amp;"/"&amp;C477)),"x","")</f>
        <v/>
      </c>
      <c r="C477" s="278" t="s">
        <v>225</v>
      </c>
      <c r="D477" s="279" t="s">
        <v>214</v>
      </c>
      <c r="E477" s="280">
        <v>42082</v>
      </c>
      <c r="F477" s="281" t="s">
        <v>165</v>
      </c>
      <c r="G477" s="282" t="s">
        <v>160</v>
      </c>
      <c r="H477" s="283" t="s">
        <v>159</v>
      </c>
      <c r="I477" s="284" t="s">
        <v>97</v>
      </c>
      <c r="J477" s="285">
        <v>232496.96045296168</v>
      </c>
      <c r="K477" s="285">
        <v>5740</v>
      </c>
      <c r="L477" s="285">
        <f t="shared" si="69"/>
        <v>1334532553</v>
      </c>
      <c r="M477" s="285"/>
      <c r="N477" s="285">
        <f t="shared" si="70"/>
        <v>0</v>
      </c>
      <c r="O477" s="15" t="str">
        <f>IF(AND(A477='BANG KE NL'!$M$11,TH!C477="NL",LEFT(D477,1)="N"),"x","")</f>
        <v/>
      </c>
    </row>
    <row r="478" spans="1:15" s="286" customFormat="1" hidden="1">
      <c r="A478" s="24">
        <f t="shared" si="72"/>
        <v>3</v>
      </c>
      <c r="B478" s="176" t="str">
        <f>IF(AND(MONTH(E478)='IN-NX'!$J$5,'IN-NX'!$D$7=(D478&amp;"/"&amp;C478)),"x","")</f>
        <v/>
      </c>
      <c r="C478" s="278" t="s">
        <v>225</v>
      </c>
      <c r="D478" s="278" t="s">
        <v>221</v>
      </c>
      <c r="E478" s="280">
        <v>42082</v>
      </c>
      <c r="F478" s="281" t="s">
        <v>165</v>
      </c>
      <c r="G478" s="282" t="s">
        <v>166</v>
      </c>
      <c r="H478" s="287" t="s">
        <v>117</v>
      </c>
      <c r="I478" s="284" t="s">
        <v>159</v>
      </c>
      <c r="J478" s="285">
        <v>232496.96045296168</v>
      </c>
      <c r="K478" s="285"/>
      <c r="L478" s="285">
        <f t="shared" si="69"/>
        <v>0</v>
      </c>
      <c r="M478" s="285">
        <v>5740</v>
      </c>
      <c r="N478" s="285">
        <f t="shared" si="70"/>
        <v>1334532553</v>
      </c>
      <c r="O478" s="15" t="str">
        <f>IF(AND(A478='BANG KE NL'!$M$11,TH!C478="NL",LEFT(D478,1)="N"),"x","")</f>
        <v/>
      </c>
    </row>
    <row r="479" spans="1:15" s="286" customFormat="1" hidden="1">
      <c r="A479" s="24">
        <f t="shared" si="72"/>
        <v>3</v>
      </c>
      <c r="B479" s="176" t="str">
        <f>IF(AND(MONTH(E479)='IN-NX'!$J$5,'IN-NX'!$D$7=(D479&amp;"/"&amp;C479)),"x","")</f>
        <v/>
      </c>
      <c r="C479" s="278" t="s">
        <v>225</v>
      </c>
      <c r="D479" s="279" t="s">
        <v>215</v>
      </c>
      <c r="E479" s="280">
        <v>42090</v>
      </c>
      <c r="F479" s="281" t="s">
        <v>121</v>
      </c>
      <c r="G479" s="282" t="s">
        <v>160</v>
      </c>
      <c r="H479" s="283" t="s">
        <v>159</v>
      </c>
      <c r="I479" s="284" t="s">
        <v>97</v>
      </c>
      <c r="J479" s="285">
        <v>177212.82083333333</v>
      </c>
      <c r="K479" s="285">
        <v>2160</v>
      </c>
      <c r="L479" s="285">
        <f t="shared" si="69"/>
        <v>382779693</v>
      </c>
      <c r="M479" s="285"/>
      <c r="N479" s="285">
        <f t="shared" si="70"/>
        <v>0</v>
      </c>
      <c r="O479" s="15" t="str">
        <f>IF(AND(A479='BANG KE NL'!$M$11,TH!C479="NL",LEFT(D479,1)="N"),"x","")</f>
        <v/>
      </c>
    </row>
    <row r="480" spans="1:15" s="286" customFormat="1" hidden="1">
      <c r="A480" s="24">
        <f t="shared" si="72"/>
        <v>3</v>
      </c>
      <c r="B480" s="176" t="str">
        <f>IF(AND(MONTH(E480)='IN-NX'!$J$5,'IN-NX'!$D$7=(D480&amp;"/"&amp;C480)),"x","")</f>
        <v/>
      </c>
      <c r="C480" s="278" t="s">
        <v>225</v>
      </c>
      <c r="D480" s="279" t="s">
        <v>215</v>
      </c>
      <c r="E480" s="280">
        <v>42090</v>
      </c>
      <c r="F480" s="281" t="s">
        <v>118</v>
      </c>
      <c r="G480" s="282" t="s">
        <v>160</v>
      </c>
      <c r="H480" s="283" t="s">
        <v>159</v>
      </c>
      <c r="I480" s="284" t="s">
        <v>97</v>
      </c>
      <c r="J480" s="285">
        <v>184548.97500000001</v>
      </c>
      <c r="K480" s="285">
        <v>1920</v>
      </c>
      <c r="L480" s="285">
        <f t="shared" si="69"/>
        <v>354334032</v>
      </c>
      <c r="M480" s="285"/>
      <c r="N480" s="285">
        <f t="shared" si="70"/>
        <v>0</v>
      </c>
      <c r="O480" s="15" t="str">
        <f>IF(AND(A480='BANG KE NL'!$M$11,TH!C480="NL",LEFT(D480,1)="N"),"x","")</f>
        <v/>
      </c>
    </row>
    <row r="481" spans="1:15" s="286" customFormat="1" hidden="1">
      <c r="A481" s="24">
        <f t="shared" si="72"/>
        <v>3</v>
      </c>
      <c r="B481" s="176" t="str">
        <f>IF(AND(MONTH(E481)='IN-NX'!$J$5,'IN-NX'!$D$7=(D481&amp;"/"&amp;C481)),"x","")</f>
        <v/>
      </c>
      <c r="C481" s="278" t="s">
        <v>225</v>
      </c>
      <c r="D481" s="279" t="s">
        <v>215</v>
      </c>
      <c r="E481" s="280">
        <v>42090</v>
      </c>
      <c r="F481" s="281" t="s">
        <v>122</v>
      </c>
      <c r="G481" s="282" t="s">
        <v>160</v>
      </c>
      <c r="H481" s="283" t="s">
        <v>159</v>
      </c>
      <c r="I481" s="284" t="s">
        <v>97</v>
      </c>
      <c r="J481" s="285">
        <v>186526.70944444445</v>
      </c>
      <c r="K481" s="285">
        <v>1800</v>
      </c>
      <c r="L481" s="285">
        <f t="shared" si="69"/>
        <v>335748077</v>
      </c>
      <c r="M481" s="285"/>
      <c r="N481" s="285">
        <f t="shared" si="70"/>
        <v>0</v>
      </c>
      <c r="O481" s="15" t="str">
        <f>IF(AND(A481='BANG KE NL'!$M$11,TH!C481="NL",LEFT(D481,1)="N"),"x","")</f>
        <v/>
      </c>
    </row>
    <row r="482" spans="1:15" s="286" customFormat="1" hidden="1">
      <c r="A482" s="24">
        <f t="shared" si="72"/>
        <v>3</v>
      </c>
      <c r="B482" s="176" t="str">
        <f>IF(AND(MONTH(E482)='IN-NX'!$J$5,'IN-NX'!$D$7=(D482&amp;"/"&amp;C482)),"x","")</f>
        <v/>
      </c>
      <c r="C482" s="278" t="s">
        <v>225</v>
      </c>
      <c r="D482" s="279" t="s">
        <v>215</v>
      </c>
      <c r="E482" s="280">
        <v>42090</v>
      </c>
      <c r="F482" s="281" t="s">
        <v>120</v>
      </c>
      <c r="G482" s="282" t="s">
        <v>160</v>
      </c>
      <c r="H482" s="283" t="s">
        <v>159</v>
      </c>
      <c r="I482" s="284" t="s">
        <v>97</v>
      </c>
      <c r="J482" s="285">
        <v>142684.33866666668</v>
      </c>
      <c r="K482" s="285">
        <v>1500</v>
      </c>
      <c r="L482" s="285">
        <f t="shared" si="69"/>
        <v>214026508</v>
      </c>
      <c r="M482" s="285"/>
      <c r="N482" s="285">
        <f t="shared" si="70"/>
        <v>0</v>
      </c>
      <c r="O482" s="15" t="str">
        <f>IF(AND(A482='BANG KE NL'!$M$11,TH!C482="NL",LEFT(D482,1)="N"),"x","")</f>
        <v/>
      </c>
    </row>
    <row r="483" spans="1:15" s="286" customFormat="1" hidden="1">
      <c r="A483" s="24">
        <f t="shared" si="72"/>
        <v>3</v>
      </c>
      <c r="B483" s="176" t="str">
        <f>IF(AND(MONTH(E483)='IN-NX'!$J$5,'IN-NX'!$D$7=(D483&amp;"/"&amp;C483)),"x","")</f>
        <v/>
      </c>
      <c r="C483" s="278" t="s">
        <v>225</v>
      </c>
      <c r="D483" s="279" t="s">
        <v>215</v>
      </c>
      <c r="E483" s="280">
        <v>42090</v>
      </c>
      <c r="F483" s="281" t="s">
        <v>120</v>
      </c>
      <c r="G483" s="282" t="s">
        <v>160</v>
      </c>
      <c r="H483" s="283" t="s">
        <v>159</v>
      </c>
      <c r="I483" s="284" t="s">
        <v>97</v>
      </c>
      <c r="J483" s="285">
        <v>146504.41333333333</v>
      </c>
      <c r="K483" s="285">
        <v>1425</v>
      </c>
      <c r="L483" s="285">
        <f t="shared" si="69"/>
        <v>208768789</v>
      </c>
      <c r="M483" s="285"/>
      <c r="N483" s="285">
        <f t="shared" si="70"/>
        <v>0</v>
      </c>
      <c r="O483" s="15" t="str">
        <f>IF(AND(A483='BANG KE NL'!$M$11,TH!C483="NL",LEFT(D483,1)="N"),"x","")</f>
        <v/>
      </c>
    </row>
    <row r="484" spans="1:15" s="286" customFormat="1" hidden="1">
      <c r="A484" s="24">
        <f t="shared" si="72"/>
        <v>3</v>
      </c>
      <c r="B484" s="176" t="str">
        <f>IF(AND(MONTH(E484)='IN-NX'!$J$5,'IN-NX'!$D$7=(D484&amp;"/"&amp;C484)),"x","")</f>
        <v/>
      </c>
      <c r="C484" s="278" t="s">
        <v>225</v>
      </c>
      <c r="D484" s="279" t="s">
        <v>215</v>
      </c>
      <c r="E484" s="280">
        <v>42090</v>
      </c>
      <c r="F484" s="281" t="s">
        <v>119</v>
      </c>
      <c r="G484" s="282" t="s">
        <v>160</v>
      </c>
      <c r="H484" s="283" t="s">
        <v>159</v>
      </c>
      <c r="I484" s="284" t="s">
        <v>97</v>
      </c>
      <c r="J484" s="285">
        <v>134182.47850746269</v>
      </c>
      <c r="K484" s="285">
        <v>6700</v>
      </c>
      <c r="L484" s="285">
        <f t="shared" si="69"/>
        <v>899022606</v>
      </c>
      <c r="M484" s="285"/>
      <c r="N484" s="285">
        <f t="shared" si="70"/>
        <v>0</v>
      </c>
      <c r="O484" s="15" t="str">
        <f>IF(AND(A484='BANG KE NL'!$M$11,TH!C484="NL",LEFT(D484,1)="N"),"x","")</f>
        <v/>
      </c>
    </row>
    <row r="485" spans="1:15" s="286" customFormat="1" hidden="1">
      <c r="A485" s="24">
        <f t="shared" si="72"/>
        <v>3</v>
      </c>
      <c r="B485" s="176" t="str">
        <f>IF(AND(MONTH(E485)='IN-NX'!$J$5,'IN-NX'!$D$7=(D485&amp;"/"&amp;C485)),"x","")</f>
        <v/>
      </c>
      <c r="C485" s="278" t="s">
        <v>225</v>
      </c>
      <c r="D485" s="278" t="s">
        <v>222</v>
      </c>
      <c r="E485" s="280">
        <v>42090</v>
      </c>
      <c r="F485" s="281" t="s">
        <v>121</v>
      </c>
      <c r="G485" s="282" t="s">
        <v>164</v>
      </c>
      <c r="H485" s="287" t="s">
        <v>117</v>
      </c>
      <c r="I485" s="284" t="s">
        <v>159</v>
      </c>
      <c r="J485" s="285">
        <v>177212.82083333333</v>
      </c>
      <c r="K485" s="285"/>
      <c r="L485" s="285">
        <f t="shared" si="69"/>
        <v>0</v>
      </c>
      <c r="M485" s="285">
        <v>2160</v>
      </c>
      <c r="N485" s="285">
        <f t="shared" si="70"/>
        <v>382779693</v>
      </c>
      <c r="O485" s="15" t="str">
        <f>IF(AND(A485='BANG KE NL'!$M$11,TH!C485="NL",LEFT(D485,1)="N"),"x","")</f>
        <v/>
      </c>
    </row>
    <row r="486" spans="1:15" s="286" customFormat="1" hidden="1">
      <c r="A486" s="24">
        <f t="shared" si="72"/>
        <v>3</v>
      </c>
      <c r="B486" s="176" t="str">
        <f>IF(AND(MONTH(E486)='IN-NX'!$J$5,'IN-NX'!$D$7=(D486&amp;"/"&amp;C486)),"x","")</f>
        <v/>
      </c>
      <c r="C486" s="278" t="s">
        <v>225</v>
      </c>
      <c r="D486" s="278" t="s">
        <v>222</v>
      </c>
      <c r="E486" s="280">
        <v>42090</v>
      </c>
      <c r="F486" s="281" t="s">
        <v>118</v>
      </c>
      <c r="G486" s="282" t="s">
        <v>164</v>
      </c>
      <c r="H486" s="287" t="s">
        <v>117</v>
      </c>
      <c r="I486" s="284" t="s">
        <v>159</v>
      </c>
      <c r="J486" s="285">
        <v>184548.97500000001</v>
      </c>
      <c r="K486" s="285"/>
      <c r="L486" s="285">
        <f t="shared" si="69"/>
        <v>0</v>
      </c>
      <c r="M486" s="285">
        <v>1920</v>
      </c>
      <c r="N486" s="285">
        <f t="shared" si="70"/>
        <v>354334032</v>
      </c>
      <c r="O486" s="15" t="str">
        <f>IF(AND(A486='BANG KE NL'!$M$11,TH!C486="NL",LEFT(D486,1)="N"),"x","")</f>
        <v/>
      </c>
    </row>
    <row r="487" spans="1:15" s="286" customFormat="1" hidden="1">
      <c r="A487" s="24">
        <f t="shared" si="72"/>
        <v>3</v>
      </c>
      <c r="B487" s="176" t="str">
        <f>IF(AND(MONTH(E487)='IN-NX'!$J$5,'IN-NX'!$D$7=(D487&amp;"/"&amp;C487)),"x","")</f>
        <v/>
      </c>
      <c r="C487" s="278" t="s">
        <v>225</v>
      </c>
      <c r="D487" s="278" t="s">
        <v>222</v>
      </c>
      <c r="E487" s="280">
        <v>42090</v>
      </c>
      <c r="F487" s="281" t="s">
        <v>122</v>
      </c>
      <c r="G487" s="282" t="s">
        <v>164</v>
      </c>
      <c r="H487" s="287" t="s">
        <v>117</v>
      </c>
      <c r="I487" s="284" t="s">
        <v>159</v>
      </c>
      <c r="J487" s="285">
        <v>186526.70944444445</v>
      </c>
      <c r="K487" s="285"/>
      <c r="L487" s="285">
        <f t="shared" si="69"/>
        <v>0</v>
      </c>
      <c r="M487" s="285">
        <v>1800</v>
      </c>
      <c r="N487" s="285">
        <f t="shared" si="70"/>
        <v>335748077</v>
      </c>
      <c r="O487" s="15" t="str">
        <f>IF(AND(A487='BANG KE NL'!$M$11,TH!C487="NL",LEFT(D487,1)="N"),"x","")</f>
        <v/>
      </c>
    </row>
    <row r="488" spans="1:15" s="286" customFormat="1" hidden="1">
      <c r="A488" s="24">
        <f t="shared" si="72"/>
        <v>3</v>
      </c>
      <c r="B488" s="176" t="str">
        <f>IF(AND(MONTH(E488)='IN-NX'!$J$5,'IN-NX'!$D$7=(D488&amp;"/"&amp;C488)),"x","")</f>
        <v/>
      </c>
      <c r="C488" s="278" t="s">
        <v>225</v>
      </c>
      <c r="D488" s="278" t="s">
        <v>222</v>
      </c>
      <c r="E488" s="280">
        <v>42090</v>
      </c>
      <c r="F488" s="281" t="s">
        <v>120</v>
      </c>
      <c r="G488" s="282" t="s">
        <v>164</v>
      </c>
      <c r="H488" s="287" t="s">
        <v>117</v>
      </c>
      <c r="I488" s="284" t="s">
        <v>159</v>
      </c>
      <c r="J488" s="285">
        <v>142684.33866666668</v>
      </c>
      <c r="K488" s="285"/>
      <c r="L488" s="285">
        <f t="shared" si="69"/>
        <v>0</v>
      </c>
      <c r="M488" s="285">
        <v>1500</v>
      </c>
      <c r="N488" s="285">
        <f t="shared" si="70"/>
        <v>214026508</v>
      </c>
      <c r="O488" s="15" t="str">
        <f>IF(AND(A488='BANG KE NL'!$M$11,TH!C488="NL",LEFT(D488,1)="N"),"x","")</f>
        <v/>
      </c>
    </row>
    <row r="489" spans="1:15" s="286" customFormat="1" hidden="1">
      <c r="A489" s="24">
        <f t="shared" si="72"/>
        <v>3</v>
      </c>
      <c r="B489" s="176" t="str">
        <f>IF(AND(MONTH(E489)='IN-NX'!$J$5,'IN-NX'!$D$7=(D489&amp;"/"&amp;C489)),"x","")</f>
        <v/>
      </c>
      <c r="C489" s="278" t="s">
        <v>225</v>
      </c>
      <c r="D489" s="278" t="s">
        <v>222</v>
      </c>
      <c r="E489" s="280">
        <v>42090</v>
      </c>
      <c r="F489" s="281" t="s">
        <v>120</v>
      </c>
      <c r="G489" s="282" t="s">
        <v>164</v>
      </c>
      <c r="H489" s="287" t="s">
        <v>117</v>
      </c>
      <c r="I489" s="284" t="s">
        <v>159</v>
      </c>
      <c r="J489" s="285">
        <v>146504.41333333333</v>
      </c>
      <c r="K489" s="285"/>
      <c r="L489" s="285">
        <f t="shared" si="69"/>
        <v>0</v>
      </c>
      <c r="M489" s="285">
        <v>1425</v>
      </c>
      <c r="N489" s="285">
        <f t="shared" si="70"/>
        <v>208768789</v>
      </c>
      <c r="O489" s="15" t="str">
        <f>IF(AND(A489='BANG KE NL'!$M$11,TH!C489="NL",LEFT(D489,1)="N"),"x","")</f>
        <v/>
      </c>
    </row>
    <row r="490" spans="1:15" s="286" customFormat="1" hidden="1">
      <c r="A490" s="24">
        <f t="shared" si="72"/>
        <v>3</v>
      </c>
      <c r="B490" s="176" t="str">
        <f>IF(AND(MONTH(E490)='IN-NX'!$J$5,'IN-NX'!$D$7=(D490&amp;"/"&amp;C490)),"x","")</f>
        <v/>
      </c>
      <c r="C490" s="278" t="s">
        <v>225</v>
      </c>
      <c r="D490" s="278" t="s">
        <v>222</v>
      </c>
      <c r="E490" s="280">
        <v>42090</v>
      </c>
      <c r="F490" s="281" t="s">
        <v>119</v>
      </c>
      <c r="G490" s="282" t="s">
        <v>164</v>
      </c>
      <c r="H490" s="287" t="s">
        <v>117</v>
      </c>
      <c r="I490" s="284" t="s">
        <v>159</v>
      </c>
      <c r="J490" s="285">
        <v>134182.47850746269</v>
      </c>
      <c r="K490" s="285"/>
      <c r="L490" s="285">
        <f t="shared" si="69"/>
        <v>0</v>
      </c>
      <c r="M490" s="285">
        <v>6700</v>
      </c>
      <c r="N490" s="285">
        <f t="shared" si="70"/>
        <v>899022606</v>
      </c>
      <c r="O490" s="15" t="str">
        <f>IF(AND(A490='BANG KE NL'!$M$11,TH!C490="NL",LEFT(D490,1)="N"),"x","")</f>
        <v/>
      </c>
    </row>
    <row r="491" spans="1:15" s="286" customFormat="1" hidden="1">
      <c r="A491" s="24">
        <f t="shared" si="72"/>
        <v>4</v>
      </c>
      <c r="B491" s="176" t="str">
        <f>IF(AND(MONTH(E491)='IN-NX'!$J$5,'IN-NX'!$D$7=(D491&amp;"/"&amp;C491)),"x","")</f>
        <v/>
      </c>
      <c r="C491" s="279" t="s">
        <v>225</v>
      </c>
      <c r="D491" s="279" t="s">
        <v>214</v>
      </c>
      <c r="E491" s="280">
        <v>42118</v>
      </c>
      <c r="F491" s="281" t="s">
        <v>331</v>
      </c>
      <c r="G491" s="282" t="s">
        <v>160</v>
      </c>
      <c r="H491" s="283" t="s">
        <v>159</v>
      </c>
      <c r="I491" s="284" t="s">
        <v>97</v>
      </c>
      <c r="J491" s="285">
        <v>80541.470230334642</v>
      </c>
      <c r="K491" s="285">
        <v>23010</v>
      </c>
      <c r="L491" s="285">
        <f t="shared" si="69"/>
        <v>1853259230</v>
      </c>
      <c r="M491" s="285"/>
      <c r="N491" s="285">
        <f t="shared" si="70"/>
        <v>0</v>
      </c>
      <c r="O491" s="15" t="str">
        <f>IF(AND(A491='BANG KE NL'!$M$11,TH!C491="NL",LEFT(D491,1)="N"),"x","")</f>
        <v/>
      </c>
    </row>
    <row r="492" spans="1:15" s="286" customFormat="1" hidden="1">
      <c r="A492" s="24">
        <f t="shared" si="72"/>
        <v>4</v>
      </c>
      <c r="B492" s="176" t="str">
        <f>IF(AND(MONTH(E492)='IN-NX'!$J$5,'IN-NX'!$D$7=(D492&amp;"/"&amp;C492)),"x","")</f>
        <v/>
      </c>
      <c r="C492" s="279" t="s">
        <v>225</v>
      </c>
      <c r="D492" s="279" t="s">
        <v>220</v>
      </c>
      <c r="E492" s="280">
        <v>42118</v>
      </c>
      <c r="F492" s="281" t="s">
        <v>331</v>
      </c>
      <c r="G492" s="282" t="s">
        <v>332</v>
      </c>
      <c r="H492" s="283" t="s">
        <v>117</v>
      </c>
      <c r="I492" s="284" t="s">
        <v>159</v>
      </c>
      <c r="J492" s="285">
        <v>80541.470230334642</v>
      </c>
      <c r="K492" s="285"/>
      <c r="L492" s="285">
        <f t="shared" si="69"/>
        <v>0</v>
      </c>
      <c r="M492" s="285">
        <v>23010</v>
      </c>
      <c r="N492" s="285">
        <f t="shared" si="70"/>
        <v>1853259230</v>
      </c>
      <c r="O492" s="15" t="str">
        <f>IF(AND(A492='BANG KE NL'!$M$11,TH!C492="NL",LEFT(D492,1)="N"),"x","")</f>
        <v/>
      </c>
    </row>
    <row r="493" spans="1:15" s="286" customFormat="1" hidden="1">
      <c r="A493" s="24">
        <f t="shared" si="72"/>
        <v>5</v>
      </c>
      <c r="B493" s="176" t="str">
        <f>IF(AND(MONTH(E493)='IN-NX'!$J$5,'IN-NX'!$D$7=(D493&amp;"/"&amp;C493)),"x","")</f>
        <v/>
      </c>
      <c r="C493" s="279" t="s">
        <v>225</v>
      </c>
      <c r="D493" s="279" t="s">
        <v>214</v>
      </c>
      <c r="E493" s="280">
        <v>42142</v>
      </c>
      <c r="F493" s="281" t="s">
        <v>113</v>
      </c>
      <c r="G493" s="282" t="s">
        <v>160</v>
      </c>
      <c r="H493" s="283" t="s">
        <v>159</v>
      </c>
      <c r="I493" s="284" t="s">
        <v>97</v>
      </c>
      <c r="J493" s="285">
        <v>152941.39359200469</v>
      </c>
      <c r="K493" s="285">
        <v>6440</v>
      </c>
      <c r="L493" s="285">
        <f t="shared" ref="L493:L499" si="73">ROUND(J493*K493,0)</f>
        <v>984942575</v>
      </c>
      <c r="M493" s="285"/>
      <c r="N493" s="285">
        <f t="shared" ref="N493:N499" si="74">ROUND(J493*M493,0)</f>
        <v>0</v>
      </c>
      <c r="O493" s="15" t="str">
        <f>IF(AND(A493='BANG KE NL'!$M$11,TH!C493="NL",LEFT(D493,1)="N"),"x","")</f>
        <v/>
      </c>
    </row>
    <row r="494" spans="1:15" s="286" customFormat="1" hidden="1">
      <c r="A494" s="24">
        <f t="shared" si="72"/>
        <v>5</v>
      </c>
      <c r="B494" s="176" t="str">
        <f>IF(AND(MONTH(E494)='IN-NX'!$J$5,'IN-NX'!$D$7=(D494&amp;"/"&amp;C494)),"x","")</f>
        <v/>
      </c>
      <c r="C494" s="279" t="s">
        <v>225</v>
      </c>
      <c r="D494" s="279" t="s">
        <v>215</v>
      </c>
      <c r="E494" s="280">
        <v>42150</v>
      </c>
      <c r="F494" s="281" t="s">
        <v>113</v>
      </c>
      <c r="G494" s="282" t="s">
        <v>160</v>
      </c>
      <c r="H494" s="283" t="s">
        <v>159</v>
      </c>
      <c r="I494" s="284" t="s">
        <v>97</v>
      </c>
      <c r="J494" s="285">
        <v>152941.39359200469</v>
      </c>
      <c r="K494" s="285">
        <v>7168</v>
      </c>
      <c r="L494" s="285">
        <f t="shared" si="73"/>
        <v>1096283909</v>
      </c>
      <c r="M494" s="285"/>
      <c r="N494" s="285">
        <f t="shared" si="74"/>
        <v>0</v>
      </c>
      <c r="O494" s="15" t="str">
        <f>IF(AND(A494='BANG KE NL'!$M$11,TH!C494="NL",LEFT(D494,1)="N"),"x","")</f>
        <v/>
      </c>
    </row>
    <row r="495" spans="1:15" s="286" customFormat="1" hidden="1">
      <c r="A495" s="24">
        <f t="shared" si="72"/>
        <v>5</v>
      </c>
      <c r="B495" s="176" t="str">
        <f>IF(AND(MONTH(E495)='IN-NX'!$J$5,'IN-NX'!$D$7=(D495&amp;"/"&amp;C495)),"x","")</f>
        <v/>
      </c>
      <c r="C495" s="279" t="s">
        <v>225</v>
      </c>
      <c r="D495" s="279" t="s">
        <v>220</v>
      </c>
      <c r="E495" s="280">
        <v>42132</v>
      </c>
      <c r="F495" s="281" t="s">
        <v>126</v>
      </c>
      <c r="G495" s="282" t="s">
        <v>163</v>
      </c>
      <c r="H495" s="283" t="s">
        <v>117</v>
      </c>
      <c r="I495" s="284" t="s">
        <v>159</v>
      </c>
      <c r="J495" s="285">
        <v>127082.22943005181</v>
      </c>
      <c r="K495" s="285"/>
      <c r="L495" s="285">
        <f t="shared" si="73"/>
        <v>0</v>
      </c>
      <c r="M495" s="285">
        <v>4875</v>
      </c>
      <c r="N495" s="285">
        <f t="shared" si="74"/>
        <v>619525868</v>
      </c>
      <c r="O495" s="15" t="str">
        <f>IF(AND(A495='BANG KE NL'!$M$11,TH!C495="NL",LEFT(D495,1)="N"),"x","")</f>
        <v/>
      </c>
    </row>
    <row r="496" spans="1:15" s="286" customFormat="1" hidden="1">
      <c r="A496" s="24">
        <f t="shared" si="72"/>
        <v>5</v>
      </c>
      <c r="B496" s="176" t="str">
        <f>IF(AND(MONTH(E496)='IN-NX'!$J$5,'IN-NX'!$D$7=(D496&amp;"/"&amp;C496)),"x","")</f>
        <v/>
      </c>
      <c r="C496" s="279" t="s">
        <v>225</v>
      </c>
      <c r="D496" s="279" t="s">
        <v>220</v>
      </c>
      <c r="E496" s="280">
        <v>42132</v>
      </c>
      <c r="F496" s="281" t="s">
        <v>114</v>
      </c>
      <c r="G496" s="282" t="s">
        <v>163</v>
      </c>
      <c r="H496" s="283" t="s">
        <v>117</v>
      </c>
      <c r="I496" s="284" t="s">
        <v>159</v>
      </c>
      <c r="J496" s="285">
        <v>139827.72890173411</v>
      </c>
      <c r="K496" s="285"/>
      <c r="L496" s="285">
        <f t="shared" si="73"/>
        <v>0</v>
      </c>
      <c r="M496" s="285">
        <v>12000</v>
      </c>
      <c r="N496" s="285">
        <f t="shared" si="74"/>
        <v>1677932747</v>
      </c>
      <c r="O496" s="15" t="str">
        <f>IF(AND(A496='BANG KE NL'!$M$11,TH!C496="NL",LEFT(D496,1)="N"),"x","")</f>
        <v/>
      </c>
    </row>
    <row r="497" spans="1:15" s="286" customFormat="1" hidden="1">
      <c r="A497" s="24">
        <f t="shared" si="72"/>
        <v>5</v>
      </c>
      <c r="B497" s="176" t="str">
        <f>IF(AND(MONTH(E497)='IN-NX'!$J$5,'IN-NX'!$D$7=(D497&amp;"/"&amp;C497)),"x","")</f>
        <v/>
      </c>
      <c r="C497" s="279" t="s">
        <v>225</v>
      </c>
      <c r="D497" s="279" t="s">
        <v>220</v>
      </c>
      <c r="E497" s="280">
        <v>42132</v>
      </c>
      <c r="F497" s="281" t="s">
        <v>115</v>
      </c>
      <c r="G497" s="282" t="s">
        <v>163</v>
      </c>
      <c r="H497" s="283" t="s">
        <v>117</v>
      </c>
      <c r="I497" s="284" t="s">
        <v>159</v>
      </c>
      <c r="J497" s="285">
        <v>157390.07617260789</v>
      </c>
      <c r="K497" s="285"/>
      <c r="L497" s="285">
        <f t="shared" si="73"/>
        <v>0</v>
      </c>
      <c r="M497" s="285">
        <v>4125</v>
      </c>
      <c r="N497" s="285">
        <f t="shared" si="74"/>
        <v>649234064</v>
      </c>
      <c r="O497" s="15" t="str">
        <f>IF(AND(A497='BANG KE NL'!$M$11,TH!C497="NL",LEFT(D497,1)="N"),"x","")</f>
        <v/>
      </c>
    </row>
    <row r="498" spans="1:15" s="286" customFormat="1" hidden="1">
      <c r="A498" s="24">
        <f t="shared" si="72"/>
        <v>5</v>
      </c>
      <c r="B498" s="176" t="str">
        <f>IF(AND(MONTH(E498)='IN-NX'!$J$5,'IN-NX'!$D$7=(D498&amp;"/"&amp;C498)),"x","")</f>
        <v/>
      </c>
      <c r="C498" s="279" t="s">
        <v>225</v>
      </c>
      <c r="D498" s="279" t="s">
        <v>221</v>
      </c>
      <c r="E498" s="280">
        <v>42142</v>
      </c>
      <c r="F498" s="281" t="s">
        <v>113</v>
      </c>
      <c r="G498" s="282" t="s">
        <v>166</v>
      </c>
      <c r="H498" s="283" t="s">
        <v>117</v>
      </c>
      <c r="I498" s="284" t="s">
        <v>159</v>
      </c>
      <c r="J498" s="285">
        <v>152941.39359200469</v>
      </c>
      <c r="K498" s="285"/>
      <c r="L498" s="285">
        <f t="shared" si="73"/>
        <v>0</v>
      </c>
      <c r="M498" s="285">
        <v>6440</v>
      </c>
      <c r="N498" s="285">
        <f t="shared" si="74"/>
        <v>984942575</v>
      </c>
      <c r="O498" s="15" t="str">
        <f>IF(AND(A498='BANG KE NL'!$M$11,TH!C498="NL",LEFT(D498,1)="N"),"x","")</f>
        <v/>
      </c>
    </row>
    <row r="499" spans="1:15" s="286" customFormat="1" hidden="1">
      <c r="A499" s="24">
        <f t="shared" si="72"/>
        <v>5</v>
      </c>
      <c r="B499" s="176" t="str">
        <f>IF(AND(MONTH(E499)='IN-NX'!$J$5,'IN-NX'!$D$7=(D499&amp;"/"&amp;C499)),"x","")</f>
        <v/>
      </c>
      <c r="C499" s="279" t="s">
        <v>225</v>
      </c>
      <c r="D499" s="279" t="s">
        <v>222</v>
      </c>
      <c r="E499" s="280">
        <v>42150</v>
      </c>
      <c r="F499" s="281" t="s">
        <v>113</v>
      </c>
      <c r="G499" s="282" t="s">
        <v>162</v>
      </c>
      <c r="H499" s="283" t="s">
        <v>117</v>
      </c>
      <c r="I499" s="284" t="s">
        <v>159</v>
      </c>
      <c r="J499" s="285">
        <v>152941.39359200469</v>
      </c>
      <c r="K499" s="285"/>
      <c r="L499" s="285">
        <f t="shared" si="73"/>
        <v>0</v>
      </c>
      <c r="M499" s="285">
        <v>7168</v>
      </c>
      <c r="N499" s="285">
        <f t="shared" si="74"/>
        <v>1096283909</v>
      </c>
      <c r="O499" s="15" t="str">
        <f>IF(AND(A499='BANG KE NL'!$M$11,TH!C499="NL",LEFT(D499,1)="N"),"x","")</f>
        <v/>
      </c>
    </row>
    <row r="500" spans="1:15" s="286" customFormat="1" hidden="1">
      <c r="A500" s="24">
        <f t="shared" si="72"/>
        <v>6</v>
      </c>
      <c r="B500" s="176" t="str">
        <f>IF(AND(MONTH(E500)='IN-NX'!$J$5,'IN-NX'!$D$7=(D500&amp;"/"&amp;C500)),"x","")</f>
        <v/>
      </c>
      <c r="C500" s="279" t="s">
        <v>225</v>
      </c>
      <c r="D500" s="279" t="s">
        <v>214</v>
      </c>
      <c r="E500" s="280">
        <v>42171</v>
      </c>
      <c r="F500" s="281" t="s">
        <v>381</v>
      </c>
      <c r="G500" s="282" t="s">
        <v>160</v>
      </c>
      <c r="H500" s="283" t="s">
        <v>159</v>
      </c>
      <c r="I500" s="284" t="s">
        <v>97</v>
      </c>
      <c r="J500" s="285">
        <v>63601.942952380952</v>
      </c>
      <c r="K500" s="285">
        <v>10500</v>
      </c>
      <c r="L500" s="285">
        <f t="shared" ref="L500:L505" si="75">ROUND(J500*K500,0)</f>
        <v>667820401</v>
      </c>
      <c r="M500" s="285"/>
      <c r="N500" s="285">
        <f t="shared" ref="N500:N505" si="76">ROUND(J500*M500,0)</f>
        <v>0</v>
      </c>
      <c r="O500" s="15" t="str">
        <f>IF(AND(A500='BANG KE NL'!$M$11,TH!C500="NL",LEFT(D500,1)="N"),"x","")</f>
        <v/>
      </c>
    </row>
    <row r="501" spans="1:15" s="286" customFormat="1" hidden="1">
      <c r="A501" s="24">
        <f t="shared" si="72"/>
        <v>6</v>
      </c>
      <c r="B501" s="176" t="str">
        <f>IF(AND(MONTH(E501)='IN-NX'!$J$5,'IN-NX'!$D$7=(D501&amp;"/"&amp;C501)),"x","")</f>
        <v/>
      </c>
      <c r="C501" s="279" t="s">
        <v>225</v>
      </c>
      <c r="D501" s="279" t="s">
        <v>215</v>
      </c>
      <c r="E501" s="280">
        <v>42174</v>
      </c>
      <c r="F501" s="281" t="s">
        <v>96</v>
      </c>
      <c r="G501" s="282" t="s">
        <v>160</v>
      </c>
      <c r="H501" s="283" t="s">
        <v>159</v>
      </c>
      <c r="I501" s="284" t="s">
        <v>97</v>
      </c>
      <c r="J501" s="285">
        <v>212775.51777777777</v>
      </c>
      <c r="K501" s="285">
        <v>1800</v>
      </c>
      <c r="L501" s="285">
        <f t="shared" si="75"/>
        <v>382995932</v>
      </c>
      <c r="M501" s="285"/>
      <c r="N501" s="285">
        <f t="shared" si="76"/>
        <v>0</v>
      </c>
      <c r="O501" s="15" t="str">
        <f>IF(AND(A501='BANG KE NL'!$M$11,TH!C501="NL",LEFT(D501,1)="N"),"x","")</f>
        <v/>
      </c>
    </row>
    <row r="502" spans="1:15" s="286" customFormat="1" hidden="1">
      <c r="A502" s="24">
        <f t="shared" si="72"/>
        <v>6</v>
      </c>
      <c r="B502" s="176" t="str">
        <f>IF(AND(MONTH(E502)='IN-NX'!$J$5,'IN-NX'!$D$7=(D502&amp;"/"&amp;C502)),"x","")</f>
        <v/>
      </c>
      <c r="C502" s="279" t="s">
        <v>225</v>
      </c>
      <c r="D502" s="279" t="s">
        <v>216</v>
      </c>
      <c r="E502" s="280">
        <v>42175</v>
      </c>
      <c r="F502" s="281" t="s">
        <v>382</v>
      </c>
      <c r="G502" s="282" t="s">
        <v>160</v>
      </c>
      <c r="H502" s="283" t="s">
        <v>159</v>
      </c>
      <c r="I502" s="284" t="s">
        <v>97</v>
      </c>
      <c r="J502" s="285">
        <v>143785.22558333335</v>
      </c>
      <c r="K502" s="285">
        <v>12000</v>
      </c>
      <c r="L502" s="285">
        <f t="shared" si="75"/>
        <v>1725422707</v>
      </c>
      <c r="M502" s="285"/>
      <c r="N502" s="285">
        <f t="shared" si="76"/>
        <v>0</v>
      </c>
      <c r="O502" s="15" t="str">
        <f>IF(AND(A502='BANG KE NL'!$M$11,TH!C502="NL",LEFT(D502,1)="N"),"x","")</f>
        <v/>
      </c>
    </row>
    <row r="503" spans="1:15" s="286" customFormat="1" hidden="1">
      <c r="A503" s="24">
        <f t="shared" si="72"/>
        <v>6</v>
      </c>
      <c r="B503" s="176" t="str">
        <f>IF(AND(MONTH(E503)='IN-NX'!$J$5,'IN-NX'!$D$7=(D503&amp;"/"&amp;C503)),"x","")</f>
        <v/>
      </c>
      <c r="C503" s="279" t="s">
        <v>225</v>
      </c>
      <c r="D503" s="279" t="s">
        <v>220</v>
      </c>
      <c r="E503" s="280">
        <v>42171</v>
      </c>
      <c r="F503" s="281" t="s">
        <v>381</v>
      </c>
      <c r="G503" s="282" t="s">
        <v>385</v>
      </c>
      <c r="H503" s="283" t="s">
        <v>117</v>
      </c>
      <c r="I503" s="284" t="s">
        <v>159</v>
      </c>
      <c r="J503" s="285">
        <v>63601.942952380952</v>
      </c>
      <c r="K503" s="285"/>
      <c r="L503" s="285">
        <f t="shared" si="75"/>
        <v>0</v>
      </c>
      <c r="M503" s="285">
        <v>10500</v>
      </c>
      <c r="N503" s="285">
        <f t="shared" si="76"/>
        <v>667820401</v>
      </c>
      <c r="O503" s="15" t="str">
        <f>IF(AND(A503='BANG KE NL'!$M$11,TH!C503="NL",LEFT(D503,1)="N"),"x","")</f>
        <v/>
      </c>
    </row>
    <row r="504" spans="1:15" s="286" customFormat="1" hidden="1">
      <c r="A504" s="24">
        <f t="shared" si="72"/>
        <v>6</v>
      </c>
      <c r="B504" s="176" t="str">
        <f>IF(AND(MONTH(E504)='IN-NX'!$J$5,'IN-NX'!$D$7=(D504&amp;"/"&amp;C504)),"x","")</f>
        <v/>
      </c>
      <c r="C504" s="279" t="s">
        <v>225</v>
      </c>
      <c r="D504" s="279" t="s">
        <v>221</v>
      </c>
      <c r="E504" s="280">
        <v>42174</v>
      </c>
      <c r="F504" s="281" t="s">
        <v>96</v>
      </c>
      <c r="G504" s="282" t="s">
        <v>161</v>
      </c>
      <c r="H504" s="283" t="s">
        <v>117</v>
      </c>
      <c r="I504" s="284" t="s">
        <v>159</v>
      </c>
      <c r="J504" s="285">
        <v>212775.51777777777</v>
      </c>
      <c r="K504" s="285"/>
      <c r="L504" s="285">
        <f t="shared" si="75"/>
        <v>0</v>
      </c>
      <c r="M504" s="285">
        <v>1800</v>
      </c>
      <c r="N504" s="285">
        <f t="shared" si="76"/>
        <v>382995932</v>
      </c>
      <c r="O504" s="15" t="str">
        <f>IF(AND(A504='BANG KE NL'!$M$11,TH!C504="NL",LEFT(D504,1)="N"),"x","")</f>
        <v/>
      </c>
    </row>
    <row r="505" spans="1:15" s="286" customFormat="1" hidden="1">
      <c r="A505" s="24">
        <f t="shared" si="72"/>
        <v>6</v>
      </c>
      <c r="B505" s="176" t="str">
        <f>IF(AND(MONTH(E505)='IN-NX'!$J$5,'IN-NX'!$D$7=(D505&amp;"/"&amp;C505)),"x","")</f>
        <v/>
      </c>
      <c r="C505" s="279" t="s">
        <v>225</v>
      </c>
      <c r="D505" s="279" t="s">
        <v>222</v>
      </c>
      <c r="E505" s="280">
        <v>42175</v>
      </c>
      <c r="F505" s="281" t="s">
        <v>382</v>
      </c>
      <c r="G505" s="282" t="s">
        <v>386</v>
      </c>
      <c r="H505" s="283" t="s">
        <v>117</v>
      </c>
      <c r="I505" s="284" t="s">
        <v>159</v>
      </c>
      <c r="J505" s="285">
        <v>143785.22558333335</v>
      </c>
      <c r="K505" s="285"/>
      <c r="L505" s="285">
        <f t="shared" si="75"/>
        <v>0</v>
      </c>
      <c r="M505" s="285">
        <v>12000</v>
      </c>
      <c r="N505" s="285">
        <f t="shared" si="76"/>
        <v>1725422707</v>
      </c>
      <c r="O505" s="15" t="str">
        <f>IF(AND(A505='BANG KE NL'!$M$11,TH!C505="NL",LEFT(D505,1)="N"),"x","")</f>
        <v/>
      </c>
    </row>
    <row r="506" spans="1:15" s="286" customFormat="1" hidden="1">
      <c r="A506" s="24">
        <f t="shared" si="72"/>
        <v>7</v>
      </c>
      <c r="B506" s="176" t="str">
        <f>IF(AND(MONTH(E506)='IN-NX'!$J$5,'IN-NX'!$D$7=(D506&amp;"/"&amp;C506)),"x","")</f>
        <v/>
      </c>
      <c r="C506" s="279" t="s">
        <v>225</v>
      </c>
      <c r="D506" s="279" t="s">
        <v>214</v>
      </c>
      <c r="E506" s="280">
        <v>42207</v>
      </c>
      <c r="F506" s="281" t="s">
        <v>165</v>
      </c>
      <c r="G506" s="282" t="s">
        <v>160</v>
      </c>
      <c r="H506" s="283" t="s">
        <v>159</v>
      </c>
      <c r="I506" s="284" t="s">
        <v>97</v>
      </c>
      <c r="J506" s="285">
        <v>199738.33133333334</v>
      </c>
      <c r="K506" s="285">
        <v>4500</v>
      </c>
      <c r="L506" s="285">
        <f t="shared" ref="L506:L511" si="77">ROUND(J506*K506,0)</f>
        <v>898822491</v>
      </c>
      <c r="M506" s="285"/>
      <c r="N506" s="285">
        <f t="shared" ref="N506:N511" si="78">ROUND(J506*M506,0)</f>
        <v>0</v>
      </c>
      <c r="O506" s="15" t="str">
        <f>IF(AND(A506='BANG KE NL'!$M$11,TH!C506="NL",LEFT(D506,1)="N"),"x","")</f>
        <v/>
      </c>
    </row>
    <row r="507" spans="1:15" s="286" customFormat="1" hidden="1">
      <c r="A507" s="24">
        <f t="shared" si="72"/>
        <v>7</v>
      </c>
      <c r="B507" s="176" t="str">
        <f>IF(AND(MONTH(E507)='IN-NX'!$J$5,'IN-NX'!$D$7=(D507&amp;"/"&amp;C507)),"x","")</f>
        <v/>
      </c>
      <c r="C507" s="279" t="s">
        <v>225</v>
      </c>
      <c r="D507" s="279" t="s">
        <v>214</v>
      </c>
      <c r="E507" s="280">
        <v>42207</v>
      </c>
      <c r="F507" s="281" t="s">
        <v>113</v>
      </c>
      <c r="G507" s="282" t="s">
        <v>160</v>
      </c>
      <c r="H507" s="283" t="s">
        <v>159</v>
      </c>
      <c r="I507" s="284" t="s">
        <v>97</v>
      </c>
      <c r="J507" s="285">
        <v>150829.54399999999</v>
      </c>
      <c r="K507" s="285">
        <v>2000</v>
      </c>
      <c r="L507" s="285">
        <f t="shared" si="77"/>
        <v>301659088</v>
      </c>
      <c r="M507" s="285"/>
      <c r="N507" s="285">
        <f t="shared" si="78"/>
        <v>0</v>
      </c>
      <c r="O507" s="15" t="str">
        <f>IF(AND(A507='BANG KE NL'!$M$11,TH!C507="NL",LEFT(D507,1)="N"),"x","")</f>
        <v/>
      </c>
    </row>
    <row r="508" spans="1:15" s="286" customFormat="1" hidden="1">
      <c r="A508" s="24">
        <f t="shared" si="72"/>
        <v>7</v>
      </c>
      <c r="B508" s="176" t="str">
        <f>IF(AND(MONTH(E508)='IN-NX'!$J$5,'IN-NX'!$D$7=(D508&amp;"/"&amp;C508)),"x","")</f>
        <v/>
      </c>
      <c r="C508" s="279" t="s">
        <v>225</v>
      </c>
      <c r="D508" s="279" t="s">
        <v>215</v>
      </c>
      <c r="E508" s="280">
        <v>42216</v>
      </c>
      <c r="F508" s="281" t="s">
        <v>382</v>
      </c>
      <c r="G508" s="282" t="s">
        <v>396</v>
      </c>
      <c r="H508" s="283" t="s">
        <v>159</v>
      </c>
      <c r="I508" s="284" t="s">
        <v>97</v>
      </c>
      <c r="J508" s="285">
        <v>156744.9982</v>
      </c>
      <c r="K508" s="285">
        <v>5000</v>
      </c>
      <c r="L508" s="285">
        <f t="shared" si="77"/>
        <v>783724991</v>
      </c>
      <c r="M508" s="285"/>
      <c r="N508" s="285">
        <f t="shared" si="78"/>
        <v>0</v>
      </c>
      <c r="O508" s="15" t="str">
        <f>IF(AND(A508='BANG KE NL'!$M$11,TH!C508="NL",LEFT(D508,1)="N"),"x","")</f>
        <v/>
      </c>
    </row>
    <row r="509" spans="1:15" s="286" customFormat="1" hidden="1">
      <c r="A509" s="24">
        <f t="shared" si="72"/>
        <v>7</v>
      </c>
      <c r="B509" s="176" t="str">
        <f>IF(AND(MONTH(E509)='IN-NX'!$J$5,'IN-NX'!$D$7=(D509&amp;"/"&amp;C509)),"x","")</f>
        <v/>
      </c>
      <c r="C509" s="279" t="s">
        <v>225</v>
      </c>
      <c r="D509" s="279" t="s">
        <v>220</v>
      </c>
      <c r="E509" s="280">
        <v>42207</v>
      </c>
      <c r="F509" s="281" t="s">
        <v>165</v>
      </c>
      <c r="G509" s="282" t="s">
        <v>166</v>
      </c>
      <c r="H509" s="283" t="s">
        <v>117</v>
      </c>
      <c r="I509" s="284" t="s">
        <v>159</v>
      </c>
      <c r="J509" s="285">
        <v>199738.33133333334</v>
      </c>
      <c r="K509" s="285"/>
      <c r="L509" s="285">
        <f t="shared" si="77"/>
        <v>0</v>
      </c>
      <c r="M509" s="285">
        <v>4500</v>
      </c>
      <c r="N509" s="285">
        <f t="shared" si="78"/>
        <v>898822491</v>
      </c>
      <c r="O509" s="15" t="str">
        <f>IF(AND(A509='BANG KE NL'!$M$11,TH!C509="NL",LEFT(D509,1)="N"),"x","")</f>
        <v/>
      </c>
    </row>
    <row r="510" spans="1:15" s="286" customFormat="1" hidden="1">
      <c r="A510" s="24">
        <f t="shared" si="72"/>
        <v>7</v>
      </c>
      <c r="B510" s="176" t="str">
        <f>IF(AND(MONTH(E510)='IN-NX'!$J$5,'IN-NX'!$D$7=(D510&amp;"/"&amp;C510)),"x","")</f>
        <v/>
      </c>
      <c r="C510" s="279" t="s">
        <v>225</v>
      </c>
      <c r="D510" s="279" t="s">
        <v>220</v>
      </c>
      <c r="E510" s="280">
        <v>42207</v>
      </c>
      <c r="F510" s="281" t="s">
        <v>113</v>
      </c>
      <c r="G510" s="282" t="s">
        <v>166</v>
      </c>
      <c r="H510" s="283" t="s">
        <v>117</v>
      </c>
      <c r="I510" s="284" t="s">
        <v>159</v>
      </c>
      <c r="J510" s="285">
        <v>150829.54399999999</v>
      </c>
      <c r="K510" s="285"/>
      <c r="L510" s="285">
        <f t="shared" si="77"/>
        <v>0</v>
      </c>
      <c r="M510" s="285">
        <v>2000</v>
      </c>
      <c r="N510" s="285">
        <f t="shared" si="78"/>
        <v>301659088</v>
      </c>
      <c r="O510" s="15" t="str">
        <f>IF(AND(A510='BANG KE NL'!$M$11,TH!C510="NL",LEFT(D510,1)="N"),"x","")</f>
        <v/>
      </c>
    </row>
    <row r="511" spans="1:15" s="286" customFormat="1" hidden="1">
      <c r="A511" s="24">
        <f t="shared" si="72"/>
        <v>8</v>
      </c>
      <c r="B511" s="176" t="str">
        <f>IF(AND(MONTH(E511)='IN-NX'!$J$5,'IN-NX'!$D$7=(D511&amp;"/"&amp;C511)),"x","")</f>
        <v/>
      </c>
      <c r="C511" s="279" t="s">
        <v>225</v>
      </c>
      <c r="D511" s="279" t="s">
        <v>220</v>
      </c>
      <c r="E511" s="280">
        <v>42217</v>
      </c>
      <c r="F511" s="281" t="s">
        <v>382</v>
      </c>
      <c r="G511" s="282" t="s">
        <v>160</v>
      </c>
      <c r="H511" s="283" t="s">
        <v>97</v>
      </c>
      <c r="I511" s="284" t="s">
        <v>159</v>
      </c>
      <c r="J511" s="285">
        <v>156744.9982</v>
      </c>
      <c r="K511" s="285"/>
      <c r="L511" s="285">
        <f t="shared" si="77"/>
        <v>0</v>
      </c>
      <c r="M511" s="285">
        <v>5000</v>
      </c>
      <c r="N511" s="15">
        <f t="shared" si="78"/>
        <v>783724991</v>
      </c>
      <c r="O511" s="15" t="str">
        <f>IF(AND(A511='BANG KE NL'!$M$11,TH!C511="NL",LEFT(D511,1)="N"),"x","")</f>
        <v/>
      </c>
    </row>
    <row r="512" spans="1:15" s="286" customFormat="1" hidden="1">
      <c r="A512" s="24">
        <f t="shared" si="72"/>
        <v>8</v>
      </c>
      <c r="B512" s="176" t="str">
        <f>IF(AND(MONTH(E512)='IN-NX'!$J$5,'IN-NX'!$D$7=(D512&amp;"/"&amp;C512)),"x","")</f>
        <v/>
      </c>
      <c r="C512" s="279" t="s">
        <v>225</v>
      </c>
      <c r="D512" s="279" t="s">
        <v>214</v>
      </c>
      <c r="E512" s="280">
        <v>42230</v>
      </c>
      <c r="F512" s="281" t="s">
        <v>382</v>
      </c>
      <c r="G512" s="282" t="s">
        <v>160</v>
      </c>
      <c r="H512" s="283" t="s">
        <v>159</v>
      </c>
      <c r="I512" s="284" t="s">
        <v>97</v>
      </c>
      <c r="J512" s="285">
        <v>158462.94380000001</v>
      </c>
      <c r="K512" s="285">
        <v>5000</v>
      </c>
      <c r="L512" s="285">
        <f t="shared" ref="L512:L521" si="79">ROUND(J512*K512,0)</f>
        <v>792314719</v>
      </c>
      <c r="M512" s="285"/>
      <c r="N512" s="285">
        <f t="shared" ref="N512:N521" si="80">ROUND(J512*M512,0)</f>
        <v>0</v>
      </c>
      <c r="O512" s="15" t="str">
        <f>IF(AND(A512='BANG KE NL'!$M$11,TH!C512="NL",LEFT(D512,1)="N"),"x","")</f>
        <v/>
      </c>
    </row>
    <row r="513" spans="1:15" s="286" customFormat="1" hidden="1">
      <c r="A513" s="24">
        <f t="shared" si="72"/>
        <v>8</v>
      </c>
      <c r="B513" s="176" t="str">
        <f>IF(AND(MONTH(E513)='IN-NX'!$J$5,'IN-NX'!$D$7=(D513&amp;"/"&amp;C513)),"x","")</f>
        <v/>
      </c>
      <c r="C513" s="279" t="s">
        <v>225</v>
      </c>
      <c r="D513" s="279" t="s">
        <v>214</v>
      </c>
      <c r="E513" s="280">
        <v>42230</v>
      </c>
      <c r="F513" s="281" t="s">
        <v>382</v>
      </c>
      <c r="G513" s="282" t="s">
        <v>160</v>
      </c>
      <c r="H513" s="283" t="s">
        <v>159</v>
      </c>
      <c r="I513" s="284" t="s">
        <v>97</v>
      </c>
      <c r="J513" s="285">
        <v>158790.33157142857</v>
      </c>
      <c r="K513" s="285">
        <v>7000</v>
      </c>
      <c r="L513" s="285">
        <f t="shared" si="79"/>
        <v>1111532321</v>
      </c>
      <c r="M513" s="285"/>
      <c r="N513" s="285">
        <f t="shared" si="80"/>
        <v>0</v>
      </c>
      <c r="O513" s="15" t="str">
        <f>IF(AND(A513='BANG KE NL'!$M$11,TH!C513="NL",LEFT(D513,1)="N"),"x","")</f>
        <v/>
      </c>
    </row>
    <row r="514" spans="1:15" s="286" customFormat="1" hidden="1">
      <c r="A514" s="24">
        <f t="shared" si="72"/>
        <v>8</v>
      </c>
      <c r="B514" s="176" t="str">
        <f>IF(AND(MONTH(E514)='IN-NX'!$J$5,'IN-NX'!$D$7=(D514&amp;"/"&amp;C514)),"x","")</f>
        <v/>
      </c>
      <c r="C514" s="279" t="s">
        <v>225</v>
      </c>
      <c r="D514" s="279" t="s">
        <v>215</v>
      </c>
      <c r="E514" s="280">
        <v>42238</v>
      </c>
      <c r="F514" s="281" t="s">
        <v>113</v>
      </c>
      <c r="G514" s="282" t="s">
        <v>160</v>
      </c>
      <c r="H514" s="283" t="s">
        <v>159</v>
      </c>
      <c r="I514" s="284" t="s">
        <v>97</v>
      </c>
      <c r="J514" s="285">
        <v>152850.95853658536</v>
      </c>
      <c r="K514" s="285">
        <v>4920</v>
      </c>
      <c r="L514" s="285">
        <f t="shared" ref="L514" si="81">ROUND(J514*K514,0)</f>
        <v>752026716</v>
      </c>
      <c r="M514" s="285"/>
      <c r="N514" s="285">
        <f t="shared" ref="N514" si="82">ROUND(J514*M514,0)</f>
        <v>0</v>
      </c>
      <c r="O514" s="15" t="str">
        <f>IF(AND(A514='BANG KE NL'!$M$11,TH!C514="NL",LEFT(D514,1)="N"),"x","")</f>
        <v/>
      </c>
    </row>
    <row r="515" spans="1:15" s="286" customFormat="1" hidden="1">
      <c r="A515" s="24">
        <f t="shared" si="72"/>
        <v>8</v>
      </c>
      <c r="B515" s="176" t="str">
        <f>IF(AND(MONTH(E515)='IN-NX'!$J$5,'IN-NX'!$D$7=(D515&amp;"/"&amp;C515)),"x","")</f>
        <v/>
      </c>
      <c r="C515" s="279" t="s">
        <v>225</v>
      </c>
      <c r="D515" s="279" t="s">
        <v>216</v>
      </c>
      <c r="E515" s="280">
        <v>42246</v>
      </c>
      <c r="F515" s="281" t="s">
        <v>382</v>
      </c>
      <c r="G515" s="282" t="s">
        <v>396</v>
      </c>
      <c r="H515" s="283" t="s">
        <v>159</v>
      </c>
      <c r="I515" s="284" t="s">
        <v>97</v>
      </c>
      <c r="J515" s="285">
        <v>159096.87363636363</v>
      </c>
      <c r="K515" s="285">
        <v>4400</v>
      </c>
      <c r="L515" s="285">
        <f t="shared" si="79"/>
        <v>700026244</v>
      </c>
      <c r="M515" s="285"/>
      <c r="N515" s="285">
        <f t="shared" si="80"/>
        <v>0</v>
      </c>
      <c r="O515" s="15" t="str">
        <f>IF(AND(A515='BANG KE NL'!$M$11,TH!C515="NL",LEFT(D515,1)="N"),"x","")</f>
        <v/>
      </c>
    </row>
    <row r="516" spans="1:15" s="286" customFormat="1" hidden="1">
      <c r="A516" s="24">
        <f t="shared" si="72"/>
        <v>8</v>
      </c>
      <c r="B516" s="176" t="str">
        <f>IF(AND(MONTH(E516)='IN-NX'!$J$5,'IN-NX'!$D$7=(D516&amp;"/"&amp;C516)),"x","")</f>
        <v/>
      </c>
      <c r="C516" s="279" t="s">
        <v>225</v>
      </c>
      <c r="D516" s="279" t="s">
        <v>221</v>
      </c>
      <c r="E516" s="280">
        <v>42231</v>
      </c>
      <c r="F516" s="281" t="s">
        <v>382</v>
      </c>
      <c r="G516" s="282" t="s">
        <v>386</v>
      </c>
      <c r="H516" s="283" t="s">
        <v>117</v>
      </c>
      <c r="I516" s="284" t="s">
        <v>159</v>
      </c>
      <c r="J516" s="285">
        <v>158462.94380000001</v>
      </c>
      <c r="K516" s="285"/>
      <c r="L516" s="285">
        <f t="shared" si="79"/>
        <v>0</v>
      </c>
      <c r="M516" s="285">
        <v>5000</v>
      </c>
      <c r="N516" s="285">
        <f t="shared" si="80"/>
        <v>792314719</v>
      </c>
      <c r="O516" s="15" t="str">
        <f>IF(AND(A516='BANG KE NL'!$M$11,TH!C516="NL",LEFT(D516,1)="N"),"x","")</f>
        <v/>
      </c>
    </row>
    <row r="517" spans="1:15" s="286" customFormat="1" hidden="1">
      <c r="A517" s="24">
        <f t="shared" si="72"/>
        <v>8</v>
      </c>
      <c r="B517" s="176" t="str">
        <f>IF(AND(MONTH(E517)='IN-NX'!$J$5,'IN-NX'!$D$7=(D517&amp;"/"&amp;C517)),"x","")</f>
        <v/>
      </c>
      <c r="C517" s="279" t="s">
        <v>225</v>
      </c>
      <c r="D517" s="279" t="s">
        <v>221</v>
      </c>
      <c r="E517" s="280">
        <v>42231</v>
      </c>
      <c r="F517" s="281" t="s">
        <v>382</v>
      </c>
      <c r="G517" s="282" t="s">
        <v>386</v>
      </c>
      <c r="H517" s="283" t="s">
        <v>117</v>
      </c>
      <c r="I517" s="284" t="s">
        <v>159</v>
      </c>
      <c r="J517" s="285">
        <v>158790.33157142857</v>
      </c>
      <c r="K517" s="285"/>
      <c r="L517" s="285">
        <f t="shared" ref="L517" si="83">ROUND(J517*K517,0)</f>
        <v>0</v>
      </c>
      <c r="M517" s="285">
        <v>7000</v>
      </c>
      <c r="N517" s="285">
        <f t="shared" ref="N517" si="84">ROUND(J517*M517,0)</f>
        <v>1111532321</v>
      </c>
      <c r="O517" s="15" t="str">
        <f>IF(AND(A517='BANG KE NL'!$M$11,TH!C517="NL",LEFT(D517,1)="N"),"x","")</f>
        <v/>
      </c>
    </row>
    <row r="518" spans="1:15" s="286" customFormat="1" hidden="1">
      <c r="A518" s="24">
        <f t="shared" si="72"/>
        <v>8</v>
      </c>
      <c r="B518" s="176" t="str">
        <f>IF(AND(MONTH(E518)='IN-NX'!$J$5,'IN-NX'!$D$7=(D518&amp;"/"&amp;C518)),"x","")</f>
        <v/>
      </c>
      <c r="C518" s="279" t="s">
        <v>225</v>
      </c>
      <c r="D518" s="279" t="s">
        <v>222</v>
      </c>
      <c r="E518" s="280">
        <v>42240</v>
      </c>
      <c r="F518" s="281" t="s">
        <v>113</v>
      </c>
      <c r="G518" s="282" t="s">
        <v>166</v>
      </c>
      <c r="H518" s="283" t="s">
        <v>117</v>
      </c>
      <c r="I518" s="284" t="s">
        <v>159</v>
      </c>
      <c r="J518" s="285">
        <v>152850.95853658536</v>
      </c>
      <c r="K518" s="285"/>
      <c r="L518" s="285">
        <f t="shared" si="79"/>
        <v>0</v>
      </c>
      <c r="M518" s="285">
        <v>2880</v>
      </c>
      <c r="N518" s="285">
        <f t="shared" si="80"/>
        <v>440210761</v>
      </c>
      <c r="O518" s="15" t="str">
        <f>IF(AND(A518='BANG KE NL'!$M$11,TH!C518="NL",LEFT(D518,1)="N"),"x","")</f>
        <v/>
      </c>
    </row>
    <row r="519" spans="1:15" s="286" customFormat="1" hidden="1">
      <c r="A519" s="24">
        <f t="shared" ref="A519:A612" si="85">IF(E519&lt;&gt;"",MONTH(E519),"")</f>
        <v>9</v>
      </c>
      <c r="B519" s="176" t="str">
        <f>IF(AND(MONTH(E519)='IN-NX'!$J$5,'IN-NX'!$D$7=(D519&amp;"/"&amp;C519)),"x","")</f>
        <v/>
      </c>
      <c r="C519" s="279" t="s">
        <v>225</v>
      </c>
      <c r="D519" s="279" t="s">
        <v>221</v>
      </c>
      <c r="E519" s="280">
        <v>42263</v>
      </c>
      <c r="F519" s="281" t="s">
        <v>113</v>
      </c>
      <c r="G519" s="282" t="s">
        <v>166</v>
      </c>
      <c r="H519" s="283" t="s">
        <v>117</v>
      </c>
      <c r="I519" s="284" t="s">
        <v>159</v>
      </c>
      <c r="J519" s="285">
        <v>152850.95853658536</v>
      </c>
      <c r="K519" s="285"/>
      <c r="L519" s="285">
        <f>ROUND(J519*K519,0)</f>
        <v>0</v>
      </c>
      <c r="M519" s="285">
        <v>2040</v>
      </c>
      <c r="N519" s="285">
        <f>ROUND(J519*M519,0)</f>
        <v>311815955</v>
      </c>
      <c r="O519" s="15" t="str">
        <f>IF(AND(A519='BANG KE NL'!$M$11,TH!C519="NL",LEFT(D519,1)="N"),"x","")</f>
        <v/>
      </c>
    </row>
    <row r="520" spans="1:15" s="286" customFormat="1" hidden="1">
      <c r="A520" s="24">
        <f t="shared" si="85"/>
        <v>9</v>
      </c>
      <c r="B520" s="176" t="str">
        <f>IF(AND(MONTH(E520)='IN-NX'!$J$5,'IN-NX'!$D$7=(D520&amp;"/"&amp;C520)),"x","")</f>
        <v/>
      </c>
      <c r="C520" s="279" t="s">
        <v>225</v>
      </c>
      <c r="D520" s="279" t="s">
        <v>220</v>
      </c>
      <c r="E520" s="280">
        <v>42262</v>
      </c>
      <c r="F520" s="281" t="s">
        <v>382</v>
      </c>
      <c r="G520" s="282" t="s">
        <v>160</v>
      </c>
      <c r="H520" s="283" t="s">
        <v>97</v>
      </c>
      <c r="I520" s="284" t="s">
        <v>159</v>
      </c>
      <c r="J520" s="285">
        <v>159096.87363636363</v>
      </c>
      <c r="K520" s="285"/>
      <c r="L520" s="285">
        <f>ROUND(J520*K520,0)</f>
        <v>0</v>
      </c>
      <c r="M520" s="285">
        <v>4400</v>
      </c>
      <c r="N520" s="285">
        <f>ROUND(J520*M520,0)</f>
        <v>700026244</v>
      </c>
      <c r="O520" s="15" t="str">
        <f>IF(AND(A520='BANG KE NL'!$M$11,TH!C520="NL",LEFT(D520,1)="N"),"x","")</f>
        <v/>
      </c>
    </row>
    <row r="521" spans="1:15" s="286" customFormat="1" hidden="1">
      <c r="A521" s="24">
        <f t="shared" si="85"/>
        <v>9</v>
      </c>
      <c r="B521" s="176" t="str">
        <f>IF(AND(MONTH(E521)='IN-NX'!$J$5,'IN-NX'!$D$7=(D521&amp;"/"&amp;C521)),"x","")</f>
        <v/>
      </c>
      <c r="C521" s="279" t="s">
        <v>225</v>
      </c>
      <c r="D521" s="279" t="s">
        <v>214</v>
      </c>
      <c r="E521" s="280">
        <v>42262</v>
      </c>
      <c r="F521" s="281" t="s">
        <v>165</v>
      </c>
      <c r="G521" s="282" t="s">
        <v>160</v>
      </c>
      <c r="H521" s="283" t="s">
        <v>159</v>
      </c>
      <c r="I521" s="284" t="s">
        <v>97</v>
      </c>
      <c r="J521" s="285">
        <v>210530.86333333334</v>
      </c>
      <c r="K521" s="285">
        <v>3900</v>
      </c>
      <c r="L521" s="285">
        <f t="shared" si="79"/>
        <v>821070367</v>
      </c>
      <c r="M521" s="285"/>
      <c r="N521" s="285">
        <f t="shared" si="80"/>
        <v>0</v>
      </c>
      <c r="O521" s="15" t="str">
        <f>IF(AND(A521='BANG KE NL'!$M$11,TH!C521="NL",LEFT(D521,1)="N"),"x","")</f>
        <v/>
      </c>
    </row>
    <row r="522" spans="1:15" s="286" customFormat="1" hidden="1">
      <c r="A522" s="24">
        <f t="shared" si="85"/>
        <v>9</v>
      </c>
      <c r="B522" s="176" t="str">
        <f>IF(AND(MONTH(E522)='IN-NX'!$J$5,'IN-NX'!$D$7=(D522&amp;"/"&amp;C522)),"x","")</f>
        <v/>
      </c>
      <c r="C522" s="279" t="s">
        <v>225</v>
      </c>
      <c r="D522" s="279" t="s">
        <v>215</v>
      </c>
      <c r="E522" s="280">
        <v>42275</v>
      </c>
      <c r="F522" s="281" t="s">
        <v>382</v>
      </c>
      <c r="G522" s="282" t="s">
        <v>160</v>
      </c>
      <c r="H522" s="283" t="s">
        <v>159</v>
      </c>
      <c r="I522" s="284" t="s">
        <v>97</v>
      </c>
      <c r="J522" s="285">
        <v>160793.53022727271</v>
      </c>
      <c r="K522" s="285">
        <v>4400</v>
      </c>
      <c r="L522" s="285">
        <f t="shared" ref="L522" si="86">ROUND(J522*K522,0)</f>
        <v>707491533</v>
      </c>
      <c r="M522" s="285"/>
      <c r="N522" s="285">
        <f t="shared" ref="N522" si="87">ROUND(J522*M522,0)</f>
        <v>0</v>
      </c>
      <c r="O522" s="15" t="str">
        <f>IF(AND(A522='BANG KE NL'!$M$11,TH!C522="NL",LEFT(D522,1)="N"),"x","")</f>
        <v/>
      </c>
    </row>
    <row r="523" spans="1:15" s="286" customFormat="1" hidden="1">
      <c r="A523" s="24">
        <f t="shared" si="85"/>
        <v>9</v>
      </c>
      <c r="B523" s="176" t="str">
        <f>IF(AND(MONTH(E523)='IN-NX'!$J$5,'IN-NX'!$D$7=(D523&amp;"/"&amp;C523)),"x","")</f>
        <v/>
      </c>
      <c r="C523" s="279" t="s">
        <v>225</v>
      </c>
      <c r="D523" s="279" t="s">
        <v>215</v>
      </c>
      <c r="E523" s="280">
        <v>42275</v>
      </c>
      <c r="F523" s="281" t="s">
        <v>382</v>
      </c>
      <c r="G523" s="282" t="s">
        <v>160</v>
      </c>
      <c r="H523" s="283" t="s">
        <v>159</v>
      </c>
      <c r="I523" s="284" t="s">
        <v>97</v>
      </c>
      <c r="J523" s="285">
        <v>165700.89432098766</v>
      </c>
      <c r="K523" s="285">
        <v>8100</v>
      </c>
      <c r="L523" s="285">
        <f t="shared" ref="L523:L532" si="88">ROUND(J523*K523,0)</f>
        <v>1342177244</v>
      </c>
      <c r="M523" s="285"/>
      <c r="N523" s="285">
        <f t="shared" ref="N523:N532" si="89">ROUND(J523*M523,0)</f>
        <v>0</v>
      </c>
      <c r="O523" s="15" t="str">
        <f>IF(AND(A523='BANG KE NL'!$M$11,TH!C523="NL",LEFT(D523,1)="N"),"x","")</f>
        <v/>
      </c>
    </row>
    <row r="524" spans="1:15" s="286" customFormat="1" hidden="1">
      <c r="A524" s="24">
        <f t="shared" si="85"/>
        <v>9</v>
      </c>
      <c r="B524" s="176" t="str">
        <f>IF(AND(MONTH(E524)='IN-NX'!$J$5,'IN-NX'!$D$7=(D524&amp;"/"&amp;C524)),"x","")</f>
        <v/>
      </c>
      <c r="C524" s="279" t="s">
        <v>225</v>
      </c>
      <c r="D524" s="279" t="s">
        <v>221</v>
      </c>
      <c r="E524" s="280">
        <v>42263</v>
      </c>
      <c r="F524" s="281" t="s">
        <v>165</v>
      </c>
      <c r="G524" s="282" t="s">
        <v>166</v>
      </c>
      <c r="H524" s="283" t="s">
        <v>117</v>
      </c>
      <c r="I524" s="284" t="s">
        <v>159</v>
      </c>
      <c r="J524" s="285">
        <v>210530.86333333334</v>
      </c>
      <c r="K524" s="285"/>
      <c r="L524" s="285">
        <f t="shared" si="88"/>
        <v>0</v>
      </c>
      <c r="M524" s="285">
        <v>3900</v>
      </c>
      <c r="N524" s="285">
        <f t="shared" si="89"/>
        <v>821070367</v>
      </c>
      <c r="O524" s="15" t="str">
        <f>IF(AND(A524='BANG KE NL'!$M$11,TH!C524="NL",LEFT(D524,1)="N"),"x","")</f>
        <v/>
      </c>
    </row>
    <row r="525" spans="1:15" s="286" customFormat="1" hidden="1">
      <c r="A525" s="24">
        <f t="shared" si="85"/>
        <v>9</v>
      </c>
      <c r="B525" s="176" t="str">
        <f>IF(AND(MONTH(E525)='IN-NX'!$J$5,'IN-NX'!$D$7=(D525&amp;"/"&amp;C525)),"x","")</f>
        <v/>
      </c>
      <c r="C525" s="279" t="s">
        <v>225</v>
      </c>
      <c r="D525" s="279" t="s">
        <v>222</v>
      </c>
      <c r="E525" s="280">
        <v>42276</v>
      </c>
      <c r="F525" s="281" t="s">
        <v>382</v>
      </c>
      <c r="G525" s="282" t="s">
        <v>386</v>
      </c>
      <c r="H525" s="283" t="s">
        <v>117</v>
      </c>
      <c r="I525" s="284" t="s">
        <v>159</v>
      </c>
      <c r="J525" s="285">
        <v>160793.53022727271</v>
      </c>
      <c r="K525" s="285"/>
      <c r="L525" s="285">
        <f t="shared" si="88"/>
        <v>0</v>
      </c>
      <c r="M525" s="285">
        <v>4400</v>
      </c>
      <c r="N525" s="285">
        <f t="shared" si="89"/>
        <v>707491533</v>
      </c>
      <c r="O525" s="15" t="str">
        <f>IF(AND(A525='BANG KE NL'!$M$11,TH!C525="NL",LEFT(D525,1)="N"),"x","")</f>
        <v/>
      </c>
    </row>
    <row r="526" spans="1:15" s="286" customFormat="1" hidden="1">
      <c r="A526" s="24">
        <f t="shared" si="85"/>
        <v>9</v>
      </c>
      <c r="B526" s="176" t="str">
        <f>IF(AND(MONTH(E526)='IN-NX'!$J$5,'IN-NX'!$D$7=(D526&amp;"/"&amp;C526)),"x","")</f>
        <v/>
      </c>
      <c r="C526" s="279" t="s">
        <v>225</v>
      </c>
      <c r="D526" s="279" t="s">
        <v>222</v>
      </c>
      <c r="E526" s="280">
        <v>42276</v>
      </c>
      <c r="F526" s="281" t="s">
        <v>382</v>
      </c>
      <c r="G526" s="282" t="s">
        <v>386</v>
      </c>
      <c r="H526" s="283" t="s">
        <v>117</v>
      </c>
      <c r="I526" s="284" t="s">
        <v>159</v>
      </c>
      <c r="J526" s="285">
        <v>165700.89432098766</v>
      </c>
      <c r="K526" s="285"/>
      <c r="L526" s="285">
        <f t="shared" si="88"/>
        <v>0</v>
      </c>
      <c r="M526" s="285">
        <v>8100</v>
      </c>
      <c r="N526" s="285">
        <f t="shared" si="89"/>
        <v>1342177244</v>
      </c>
      <c r="O526" s="15" t="str">
        <f>IF(AND(A526='BANG KE NL'!$M$11,TH!C526="NL",LEFT(D526,1)="N"),"x","")</f>
        <v/>
      </c>
    </row>
    <row r="527" spans="1:15" s="286" customFormat="1" hidden="1">
      <c r="A527" s="24">
        <f>IF(E527&lt;&gt;"",MONTH(E527),"")</f>
        <v>1</v>
      </c>
      <c r="B527" s="176" t="str">
        <f>IF(AND(MONTH(E527)='IN-NX'!$J$5,'IN-NX'!$D$7=(D527&amp;"/"&amp;C527)),"x","")</f>
        <v/>
      </c>
      <c r="C527" s="278" t="s">
        <v>225</v>
      </c>
      <c r="D527" s="278" t="s">
        <v>216</v>
      </c>
      <c r="E527" s="280">
        <v>42035</v>
      </c>
      <c r="F527" s="281" t="s">
        <v>114</v>
      </c>
      <c r="G527" s="282" t="s">
        <v>160</v>
      </c>
      <c r="H527" s="283" t="s">
        <v>159</v>
      </c>
      <c r="I527" s="284" t="s">
        <v>97</v>
      </c>
      <c r="J527" s="285">
        <v>142439.71016173082</v>
      </c>
      <c r="K527" s="285">
        <v>23550</v>
      </c>
      <c r="L527" s="285">
        <f>ROUND(J527*K527,0)</f>
        <v>3354455174</v>
      </c>
      <c r="M527" s="285"/>
      <c r="N527" s="285">
        <f>ROUND(J527*M527,0)</f>
        <v>0</v>
      </c>
      <c r="O527" s="15" t="str">
        <f>IF(AND(A527='BANG KE NL'!$M$11,TH!C527="NL",LEFT(D527,1)="N"),"x","")</f>
        <v/>
      </c>
    </row>
    <row r="528" spans="1:15" s="286" customFormat="1" hidden="1">
      <c r="A528" s="24">
        <f>IF(E528&lt;&gt;"",MONTH(E528),"")</f>
        <v>1</v>
      </c>
      <c r="B528" s="176" t="str">
        <f>IF(AND(MONTH(E528)='IN-NX'!$J$5,'IN-NX'!$D$7=(D528&amp;"/"&amp;C528)),"x","")</f>
        <v/>
      </c>
      <c r="C528" s="278" t="s">
        <v>225</v>
      </c>
      <c r="D528" s="278" t="s">
        <v>216</v>
      </c>
      <c r="E528" s="280">
        <v>42035</v>
      </c>
      <c r="F528" s="281" t="s">
        <v>126</v>
      </c>
      <c r="G528" s="282" t="s">
        <v>396</v>
      </c>
      <c r="H528" s="283" t="s">
        <v>159</v>
      </c>
      <c r="I528" s="284" t="s">
        <v>97</v>
      </c>
      <c r="J528" s="285">
        <v>89271.072533535873</v>
      </c>
      <c r="K528" s="285">
        <v>18300</v>
      </c>
      <c r="L528" s="285">
        <f>ROUND(J528*K528,0)</f>
        <v>1633660627</v>
      </c>
      <c r="M528" s="285"/>
      <c r="N528" s="285">
        <f>ROUND(J528*M528,0)</f>
        <v>0</v>
      </c>
      <c r="O528" s="15" t="str">
        <f>IF(AND(A528='BANG KE NL'!$M$11,TH!C528="NL",LEFT(D528,1)="N"),"x","")</f>
        <v/>
      </c>
    </row>
    <row r="529" spans="1:16" s="286" customFormat="1" hidden="1">
      <c r="A529" s="24">
        <f>IF(E529&lt;&gt;"",MONTH(E529),"")</f>
        <v>4</v>
      </c>
      <c r="B529" s="176" t="str">
        <f>IF(AND(MONTH(E529)='IN-NX'!$J$5,'IN-NX'!$D$7=(D529&amp;"/"&amp;C529)),"x","")</f>
        <v/>
      </c>
      <c r="C529" s="279" t="s">
        <v>225</v>
      </c>
      <c r="D529" s="279" t="s">
        <v>215</v>
      </c>
      <c r="E529" s="280">
        <v>42123</v>
      </c>
      <c r="F529" s="281" t="s">
        <v>126</v>
      </c>
      <c r="G529" s="282" t="s">
        <v>396</v>
      </c>
      <c r="H529" s="283" t="s">
        <v>159</v>
      </c>
      <c r="I529" s="284" t="s">
        <v>97</v>
      </c>
      <c r="J529" s="285">
        <v>89997.49291666667</v>
      </c>
      <c r="K529" s="285">
        <v>9600</v>
      </c>
      <c r="L529" s="285">
        <f t="shared" ref="L529" si="90">ROUND(J529*K529,0)</f>
        <v>863975932</v>
      </c>
      <c r="M529" s="285"/>
      <c r="N529" s="285">
        <f t="shared" ref="N529" si="91">ROUND(J529*M529,0)</f>
        <v>0</v>
      </c>
      <c r="O529" s="15" t="str">
        <f>IF(AND(A529='BANG KE NL'!$M$11,TH!C529="NL",LEFT(D529,1)="N"),"x","")</f>
        <v/>
      </c>
    </row>
    <row r="530" spans="1:16" s="286" customFormat="1" hidden="1">
      <c r="A530" s="24">
        <f>IF(E530&lt;&gt;"",MONTH(E530),"")</f>
        <v>5</v>
      </c>
      <c r="B530" s="176" t="str">
        <f>IF(AND(MONTH(E530)='IN-NX'!$J$5,'IN-NX'!$D$7=(D530&amp;"/"&amp;C530)),"x","")</f>
        <v/>
      </c>
      <c r="C530" s="279" t="s">
        <v>225</v>
      </c>
      <c r="D530" s="279" t="s">
        <v>216</v>
      </c>
      <c r="E530" s="280">
        <v>42155</v>
      </c>
      <c r="F530" s="281" t="s">
        <v>126</v>
      </c>
      <c r="G530" s="282" t="s">
        <v>396</v>
      </c>
      <c r="H530" s="283" t="s">
        <v>159</v>
      </c>
      <c r="I530" s="284" t="s">
        <v>97</v>
      </c>
      <c r="J530" s="285">
        <v>89778.685206349212</v>
      </c>
      <c r="K530" s="285">
        <v>7875</v>
      </c>
      <c r="L530" s="285">
        <f>ROUND(J530*K530,0)</f>
        <v>707007146</v>
      </c>
      <c r="M530" s="285"/>
      <c r="N530" s="285">
        <f>ROUND(J530*M530,0)</f>
        <v>0</v>
      </c>
      <c r="O530" s="15" t="str">
        <f>IF(AND(A530='BANG KE NL'!$M$11,TH!C530="NL",LEFT(D530,1)="N"),"x","")</f>
        <v/>
      </c>
    </row>
    <row r="531" spans="1:16" s="286" customFormat="1" hidden="1">
      <c r="A531" s="24">
        <f>IF(E531&lt;&gt;"",MONTH(E531),"")</f>
        <v>6</v>
      </c>
      <c r="B531" s="176" t="str">
        <f>IF(AND(MONTH(E531)='IN-NX'!$J$5,'IN-NX'!$D$7=(D531&amp;"/"&amp;C531)),"x","")</f>
        <v/>
      </c>
      <c r="C531" s="279" t="s">
        <v>225</v>
      </c>
      <c r="D531" s="279" t="s">
        <v>217</v>
      </c>
      <c r="E531" s="280">
        <v>42185</v>
      </c>
      <c r="F531" s="281" t="s">
        <v>126</v>
      </c>
      <c r="G531" s="282" t="s">
        <v>396</v>
      </c>
      <c r="H531" s="283" t="s">
        <v>159</v>
      </c>
      <c r="I531" s="284" t="s">
        <v>97</v>
      </c>
      <c r="J531" s="285">
        <v>88568.895199999999</v>
      </c>
      <c r="K531" s="285">
        <v>7500</v>
      </c>
      <c r="L531" s="285">
        <f>ROUND(J531*K531,0)</f>
        <v>664266714</v>
      </c>
      <c r="M531" s="285"/>
      <c r="N531" s="285">
        <f>ROUND(J531*M531,0)</f>
        <v>0</v>
      </c>
      <c r="O531" s="15" t="str">
        <f>IF(AND(A531='BANG KE NL'!$M$11,TH!C531="NL",LEFT(D531,1)="N"),"x","")</f>
        <v/>
      </c>
    </row>
    <row r="532" spans="1:16" s="286" customFormat="1" hidden="1">
      <c r="A532" s="24">
        <f t="shared" si="85"/>
        <v>10</v>
      </c>
      <c r="B532" s="176" t="str">
        <f>IF(AND(MONTH(E532)='IN-NX'!$J$5,'IN-NX'!$D$7=(D532&amp;"/"&amp;C532)),"x","")</f>
        <v/>
      </c>
      <c r="C532" s="279" t="s">
        <v>225</v>
      </c>
      <c r="D532" s="279" t="s">
        <v>214</v>
      </c>
      <c r="E532" s="280">
        <v>42297</v>
      </c>
      <c r="F532" s="281" t="s">
        <v>113</v>
      </c>
      <c r="G532" s="282" t="s">
        <v>160</v>
      </c>
      <c r="H532" s="283" t="s">
        <v>159</v>
      </c>
      <c r="I532" s="284" t="s">
        <v>97</v>
      </c>
      <c r="J532" s="285">
        <v>152887.4767361111</v>
      </c>
      <c r="K532" s="285">
        <v>2880</v>
      </c>
      <c r="L532" s="285">
        <f t="shared" si="88"/>
        <v>440315933</v>
      </c>
      <c r="M532" s="285"/>
      <c r="N532" s="285">
        <f t="shared" si="89"/>
        <v>0</v>
      </c>
      <c r="O532" s="15" t="str">
        <f>IF(AND(A532='BANG KE NL'!$M$11,TH!C532="NL",LEFT(D532,1)="N"),"x","")</f>
        <v/>
      </c>
    </row>
    <row r="533" spans="1:16" s="286" customFormat="1" hidden="1">
      <c r="A533" s="24">
        <f t="shared" ref="A533:A536" si="92">IF(E533&lt;&gt;"",MONTH(E533),"")</f>
        <v>10</v>
      </c>
      <c r="B533" s="176" t="str">
        <f>IF(AND(MONTH(E533)='IN-NX'!$J$5,'IN-NX'!$D$7=(D533&amp;"/"&amp;C533)),"x","")</f>
        <v/>
      </c>
      <c r="C533" s="279" t="s">
        <v>225</v>
      </c>
      <c r="D533" s="279" t="s">
        <v>220</v>
      </c>
      <c r="E533" s="280">
        <v>42298</v>
      </c>
      <c r="F533" s="281" t="s">
        <v>113</v>
      </c>
      <c r="G533" s="282" t="s">
        <v>166</v>
      </c>
      <c r="H533" s="283" t="s">
        <v>117</v>
      </c>
      <c r="I533" s="284" t="s">
        <v>159</v>
      </c>
      <c r="J533" s="285">
        <v>152887.4767361111</v>
      </c>
      <c r="K533" s="285"/>
      <c r="L533" s="285">
        <f>ROUND(J533*K533,0)</f>
        <v>0</v>
      </c>
      <c r="M533" s="285">
        <v>2880</v>
      </c>
      <c r="N533" s="285">
        <f>ROUND(J533*M533,0)</f>
        <v>440315933</v>
      </c>
      <c r="O533" s="15" t="str">
        <f>IF(AND(A533='BANG KE NL'!$M$11,TH!C533="NL",LEFT(D533,1)="N"),"x","")</f>
        <v/>
      </c>
    </row>
    <row r="534" spans="1:16" s="286" customFormat="1" hidden="1">
      <c r="A534" s="24">
        <f t="shared" si="92"/>
        <v>10</v>
      </c>
      <c r="B534" s="176" t="str">
        <f>IF(AND(MONTH(E534)='IN-NX'!$J$5,'IN-NX'!$D$7=(D534&amp;"/"&amp;C534)),"x","")</f>
        <v/>
      </c>
      <c r="C534" s="279" t="s">
        <v>225</v>
      </c>
      <c r="D534" s="279" t="s">
        <v>215</v>
      </c>
      <c r="E534" s="280">
        <v>42307</v>
      </c>
      <c r="F534" s="281" t="s">
        <v>126</v>
      </c>
      <c r="G534" s="282" t="s">
        <v>396</v>
      </c>
      <c r="H534" s="283" t="s">
        <v>159</v>
      </c>
      <c r="I534" s="284" t="s">
        <v>97</v>
      </c>
      <c r="J534" s="285">
        <v>90399.23195767196</v>
      </c>
      <c r="K534" s="285">
        <v>4725</v>
      </c>
      <c r="L534" s="285">
        <f t="shared" ref="L534" si="93">ROUND(J534*K534,0)</f>
        <v>427136371</v>
      </c>
      <c r="M534" s="285"/>
      <c r="N534" s="285">
        <f t="shared" ref="N534" si="94">ROUND(J534*M534,0)</f>
        <v>0</v>
      </c>
      <c r="O534" s="15" t="str">
        <f>IF(AND(A534='BANG KE NL'!$M$11,TH!C534="NL",LEFT(D534,1)="N"),"x","")</f>
        <v/>
      </c>
    </row>
    <row r="535" spans="1:16" s="286" customFormat="1" hidden="1">
      <c r="A535" s="24">
        <f t="shared" ref="A535" si="95">IF(E535&lt;&gt;"",MONTH(E535),"")</f>
        <v>10</v>
      </c>
      <c r="B535" s="176" t="str">
        <f>IF(AND(MONTH(E535)='IN-NX'!$J$5,'IN-NX'!$D$7=(D535&amp;"/"&amp;C535)),"x","")</f>
        <v/>
      </c>
      <c r="C535" s="279" t="s">
        <v>225</v>
      </c>
      <c r="D535" s="279" t="s">
        <v>215</v>
      </c>
      <c r="E535" s="280">
        <v>42307</v>
      </c>
      <c r="F535" s="281" t="s">
        <v>382</v>
      </c>
      <c r="G535" s="282" t="s">
        <v>160</v>
      </c>
      <c r="H535" s="283" t="s">
        <v>159</v>
      </c>
      <c r="I535" s="284" t="s">
        <v>97</v>
      </c>
      <c r="J535" s="285">
        <v>175158.80460176992</v>
      </c>
      <c r="K535" s="285">
        <v>11300</v>
      </c>
      <c r="L535" s="285">
        <f t="shared" ref="L535" si="96">ROUND(J535*K535,0)</f>
        <v>1979294492</v>
      </c>
      <c r="M535" s="285"/>
      <c r="N535" s="285">
        <f t="shared" ref="N535" si="97">ROUND(J535*M535,0)</f>
        <v>0</v>
      </c>
      <c r="O535" s="15" t="str">
        <f>IF(AND(A535='BANG KE NL'!$M$11,TH!C535="NL",LEFT(D535,1)="N"),"x","")</f>
        <v/>
      </c>
    </row>
    <row r="536" spans="1:16" s="286" customFormat="1" hidden="1">
      <c r="A536" s="24">
        <f t="shared" si="92"/>
        <v>11</v>
      </c>
      <c r="B536" s="176" t="str">
        <f>IF(AND(MONTH(E536)='IN-NX'!$J$5,'IN-NX'!$D$7=(D536&amp;"/"&amp;C536)),"x","")</f>
        <v/>
      </c>
      <c r="C536" s="279" t="s">
        <v>225</v>
      </c>
      <c r="D536" s="279" t="s">
        <v>214</v>
      </c>
      <c r="E536" s="280">
        <v>42333</v>
      </c>
      <c r="F536" s="281" t="s">
        <v>165</v>
      </c>
      <c r="G536" s="282" t="s">
        <v>160</v>
      </c>
      <c r="H536" s="283" t="s">
        <v>159</v>
      </c>
      <c r="I536" s="284" t="s">
        <v>97</v>
      </c>
      <c r="J536" s="285">
        <v>195530.19982668979</v>
      </c>
      <c r="K536" s="285">
        <v>5770</v>
      </c>
      <c r="L536" s="285">
        <f t="shared" ref="L536" si="98">ROUND(J536*K536,0)</f>
        <v>1128209253</v>
      </c>
      <c r="M536" s="285"/>
      <c r="N536" s="285">
        <f t="shared" ref="N536" si="99">ROUND(J536*M536,0)</f>
        <v>0</v>
      </c>
      <c r="O536" s="15" t="str">
        <f>IF(AND(A536='BANG KE NL'!$M$11,TH!C536="NL",LEFT(D536,1)="N"),"x","")</f>
        <v/>
      </c>
    </row>
    <row r="537" spans="1:16" s="286" customFormat="1" hidden="1">
      <c r="A537" s="24">
        <f t="shared" ref="A537" si="100">IF(E537&lt;&gt;"",MONTH(E537),"")</f>
        <v>11</v>
      </c>
      <c r="B537" s="176" t="str">
        <f>IF(AND(MONTH(E537)='IN-NX'!$J$5,'IN-NX'!$D$7=(D537&amp;"/"&amp;C537)),"x","")</f>
        <v/>
      </c>
      <c r="C537" s="279" t="s">
        <v>225</v>
      </c>
      <c r="D537" s="279" t="s">
        <v>214</v>
      </c>
      <c r="E537" s="280">
        <v>42333</v>
      </c>
      <c r="F537" s="281" t="s">
        <v>113</v>
      </c>
      <c r="G537" s="282" t="s">
        <v>160</v>
      </c>
      <c r="H537" s="283" t="s">
        <v>159</v>
      </c>
      <c r="I537" s="284" t="s">
        <v>97</v>
      </c>
      <c r="J537" s="285">
        <v>147834.91838235295</v>
      </c>
      <c r="K537" s="285">
        <v>1360</v>
      </c>
      <c r="L537" s="285">
        <f t="shared" ref="L537" si="101">ROUND(J537*K537,0)</f>
        <v>201055489</v>
      </c>
      <c r="M537" s="285"/>
      <c r="N537" s="285">
        <f t="shared" ref="N537" si="102">ROUND(J537*M537,0)</f>
        <v>0</v>
      </c>
      <c r="O537" s="15" t="str">
        <f>IF(AND(A537='BANG KE NL'!$M$11,TH!C537="NL",LEFT(D537,1)="N"),"x","")</f>
        <v/>
      </c>
    </row>
    <row r="538" spans="1:16" s="286" customFormat="1" hidden="1">
      <c r="A538" s="24">
        <f t="shared" ref="A538:A539" si="103">IF(E538&lt;&gt;"",MONTH(E538),"")</f>
        <v>11</v>
      </c>
      <c r="B538" s="176" t="str">
        <f>IF(AND(MONTH(E538)='IN-NX'!$J$5,'IN-NX'!$D$7=(D538&amp;"/"&amp;C538)),"x","")</f>
        <v/>
      </c>
      <c r="C538" s="279" t="s">
        <v>225</v>
      </c>
      <c r="D538" s="279" t="s">
        <v>221</v>
      </c>
      <c r="E538" s="280">
        <v>42323</v>
      </c>
      <c r="F538" s="281" t="s">
        <v>126</v>
      </c>
      <c r="G538" s="282" t="s">
        <v>160</v>
      </c>
      <c r="H538" s="283" t="s">
        <v>97</v>
      </c>
      <c r="I538" s="284" t="s">
        <v>159</v>
      </c>
      <c r="J538" s="285">
        <v>89271.072533535873</v>
      </c>
      <c r="K538" s="285"/>
      <c r="L538" s="285">
        <f t="shared" ref="L538:L539" si="104">ROUND(J538*K538,0)</f>
        <v>0</v>
      </c>
      <c r="M538" s="285">
        <v>18300</v>
      </c>
      <c r="N538" s="285">
        <f t="shared" ref="N538:N539" si="105">ROUND(J538*M538,0)</f>
        <v>1633660627</v>
      </c>
      <c r="O538" s="15" t="str">
        <f>IF(AND(A538='BANG KE NL'!$M$11,TH!C538="NL",LEFT(D538,1)="N"),"x","")</f>
        <v/>
      </c>
    </row>
    <row r="539" spans="1:16" s="286" customFormat="1" hidden="1">
      <c r="A539" s="24">
        <f t="shared" si="103"/>
        <v>11</v>
      </c>
      <c r="B539" s="176" t="str">
        <f>IF(AND(MONTH(E539)='IN-NX'!$J$5,'IN-NX'!$D$7=(D539&amp;"/"&amp;C539)),"x","")</f>
        <v/>
      </c>
      <c r="C539" s="279" t="s">
        <v>225</v>
      </c>
      <c r="D539" s="279" t="s">
        <v>221</v>
      </c>
      <c r="E539" s="280">
        <v>42323</v>
      </c>
      <c r="F539" s="281" t="s">
        <v>126</v>
      </c>
      <c r="G539" s="282" t="s">
        <v>160</v>
      </c>
      <c r="H539" s="283" t="s">
        <v>97</v>
      </c>
      <c r="I539" s="284" t="s">
        <v>159</v>
      </c>
      <c r="J539" s="285">
        <v>89997.49291666667</v>
      </c>
      <c r="K539" s="285"/>
      <c r="L539" s="285">
        <f t="shared" si="104"/>
        <v>0</v>
      </c>
      <c r="M539" s="285">
        <v>9600</v>
      </c>
      <c r="N539" s="285">
        <f t="shared" si="105"/>
        <v>863975932</v>
      </c>
      <c r="O539" s="15" t="str">
        <f>IF(AND(A539='BANG KE NL'!$M$11,TH!C539="NL",LEFT(D539,1)="N"),"x","")</f>
        <v/>
      </c>
    </row>
    <row r="540" spans="1:16" s="286" customFormat="1" hidden="1">
      <c r="A540" s="24">
        <f>IF(E540&lt;&gt;"",MONTH(E540),"")</f>
        <v>11</v>
      </c>
      <c r="B540" s="176" t="str">
        <f>IF(AND(MONTH(E540)='IN-NX'!$J$5,'IN-NX'!$D$7=(D540&amp;"/"&amp;C540)),"x","")</f>
        <v/>
      </c>
      <c r="C540" s="279" t="s">
        <v>225</v>
      </c>
      <c r="D540" s="279" t="s">
        <v>221</v>
      </c>
      <c r="E540" s="280">
        <v>42323</v>
      </c>
      <c r="F540" s="281" t="s">
        <v>126</v>
      </c>
      <c r="G540" s="282" t="s">
        <v>160</v>
      </c>
      <c r="H540" s="283" t="s">
        <v>97</v>
      </c>
      <c r="I540" s="284" t="s">
        <v>159</v>
      </c>
      <c r="J540" s="285">
        <v>89778.685206349212</v>
      </c>
      <c r="K540" s="285"/>
      <c r="L540" s="285">
        <f>ROUND(J540*K540,0)</f>
        <v>0</v>
      </c>
      <c r="M540" s="285">
        <v>7875</v>
      </c>
      <c r="N540" s="285">
        <f>ROUND(J540*M540,0)</f>
        <v>707007146</v>
      </c>
      <c r="O540" s="15" t="str">
        <f>IF(AND(A540='BANG KE NL'!$M$11,TH!C540="NL",LEFT(D540,1)="N"),"x","")</f>
        <v/>
      </c>
    </row>
    <row r="541" spans="1:16" s="286" customFormat="1" hidden="1">
      <c r="A541" s="24">
        <f>IF(E541&lt;&gt;"",MONTH(E541),"")</f>
        <v>11</v>
      </c>
      <c r="B541" s="176" t="str">
        <f>IF(AND(MONTH(E541)='IN-NX'!$J$5,'IN-NX'!$D$7=(D541&amp;"/"&amp;C541)),"x","")</f>
        <v/>
      </c>
      <c r="C541" s="279" t="s">
        <v>225</v>
      </c>
      <c r="D541" s="279" t="s">
        <v>221</v>
      </c>
      <c r="E541" s="280">
        <v>42323</v>
      </c>
      <c r="F541" s="281" t="s">
        <v>126</v>
      </c>
      <c r="G541" s="282" t="s">
        <v>160</v>
      </c>
      <c r="H541" s="283" t="s">
        <v>97</v>
      </c>
      <c r="I541" s="284" t="s">
        <v>159</v>
      </c>
      <c r="J541" s="285">
        <v>88568.895199999999</v>
      </c>
      <c r="K541" s="285"/>
      <c r="L541" s="285">
        <f>ROUND(J541*K541,0)</f>
        <v>0</v>
      </c>
      <c r="M541" s="285">
        <v>7500</v>
      </c>
      <c r="N541" s="285">
        <f>ROUND(J541*M541,0)</f>
        <v>664266714</v>
      </c>
      <c r="O541" s="15" t="str">
        <f>IF(AND(A541='BANG KE NL'!$M$11,TH!C541="NL",LEFT(D541,1)="N"),"x","")</f>
        <v/>
      </c>
    </row>
    <row r="542" spans="1:16" s="286" customFormat="1" hidden="1">
      <c r="A542" s="24">
        <f>IF(E542&lt;&gt;"",MONTH(E542),"")</f>
        <v>11</v>
      </c>
      <c r="B542" s="176" t="str">
        <f>IF(AND(MONTH(E542)='IN-NX'!$J$5,'IN-NX'!$D$7=(D542&amp;"/"&amp;C542)),"x","")</f>
        <v/>
      </c>
      <c r="C542" s="279" t="s">
        <v>225</v>
      </c>
      <c r="D542" s="279" t="s">
        <v>221</v>
      </c>
      <c r="E542" s="280">
        <v>42323</v>
      </c>
      <c r="F542" s="281" t="s">
        <v>126</v>
      </c>
      <c r="G542" s="282" t="s">
        <v>160</v>
      </c>
      <c r="H542" s="283" t="s">
        <v>97</v>
      </c>
      <c r="I542" s="284" t="s">
        <v>159</v>
      </c>
      <c r="J542" s="285">
        <v>90399.23195767196</v>
      </c>
      <c r="K542" s="285"/>
      <c r="L542" s="285">
        <f>ROUND(J542*K542,0)</f>
        <v>0</v>
      </c>
      <c r="M542" s="285">
        <v>4725</v>
      </c>
      <c r="N542" s="285">
        <f>ROUND(J542*M542,0)</f>
        <v>427136371</v>
      </c>
      <c r="O542" s="15" t="str">
        <f>IF(AND(A542='BANG KE NL'!$M$11,TH!C542="NL",LEFT(D542,1)="N"),"x","")</f>
        <v/>
      </c>
    </row>
    <row r="543" spans="1:16" s="286" customFormat="1" hidden="1">
      <c r="A543" s="24">
        <f t="shared" ref="A543" si="106">IF(E543&lt;&gt;"",MONTH(E543),"")</f>
        <v>11</v>
      </c>
      <c r="B543" s="176" t="str">
        <f>IF(AND(MONTH(E543)='IN-NX'!$J$5,'IN-NX'!$D$7=(D543&amp;"/"&amp;C543)),"x","")</f>
        <v/>
      </c>
      <c r="C543" s="279" t="s">
        <v>225</v>
      </c>
      <c r="D543" s="279" t="s">
        <v>216</v>
      </c>
      <c r="E543" s="280">
        <v>42335</v>
      </c>
      <c r="F543" s="281" t="s">
        <v>126</v>
      </c>
      <c r="G543" s="282" t="s">
        <v>160</v>
      </c>
      <c r="H543" s="283" t="s">
        <v>159</v>
      </c>
      <c r="I543" s="284" t="s">
        <v>97</v>
      </c>
      <c r="J543" s="285">
        <v>91131.264708333329</v>
      </c>
      <c r="K543" s="285">
        <v>48000</v>
      </c>
      <c r="L543" s="285">
        <f t="shared" ref="L543" si="107">ROUND(J543*K543,0)</f>
        <v>4374300706</v>
      </c>
      <c r="M543" s="285"/>
      <c r="N543" s="285">
        <f t="shared" ref="N543" si="108">ROUND(J543*M543,0)</f>
        <v>0</v>
      </c>
      <c r="O543" s="15" t="str">
        <f>IF(AND(A543='BANG KE NL'!$M$11,TH!C543="NL",LEFT(D543,1)="N"),"x","")</f>
        <v/>
      </c>
      <c r="P543" s="460"/>
    </row>
    <row r="544" spans="1:16" s="286" customFormat="1" hidden="1">
      <c r="A544" s="24">
        <f>IF(E544&lt;&gt;"",MONTH(E544),"")</f>
        <v>11</v>
      </c>
      <c r="B544" s="176" t="str">
        <f>IF(AND(MONTH(E544)='IN-NX'!$J$5,'IN-NX'!$D$7=(D544&amp;"/"&amp;C544)),"x","")</f>
        <v/>
      </c>
      <c r="C544" s="279" t="s">
        <v>225</v>
      </c>
      <c r="D544" s="279" t="s">
        <v>222</v>
      </c>
      <c r="E544" s="280">
        <v>42335</v>
      </c>
      <c r="F544" s="281" t="s">
        <v>126</v>
      </c>
      <c r="G544" s="282" t="s">
        <v>393</v>
      </c>
      <c r="H544" s="283" t="s">
        <v>117</v>
      </c>
      <c r="I544" s="284" t="s">
        <v>159</v>
      </c>
      <c r="J544" s="285">
        <v>91131.264708333329</v>
      </c>
      <c r="K544" s="285"/>
      <c r="L544" s="285">
        <f>ROUND(J544*K544,0)</f>
        <v>0</v>
      </c>
      <c r="M544" s="285">
        <v>48000</v>
      </c>
      <c r="N544" s="285">
        <f>ROUND(J544*M544,0)</f>
        <v>4374300706</v>
      </c>
      <c r="O544" s="15" t="str">
        <f>IF(AND(A544='BANG KE NL'!$M$11,TH!C544="NL",LEFT(D544,1)="N"),"x","")</f>
        <v/>
      </c>
    </row>
    <row r="545" spans="1:16" s="286" customFormat="1" hidden="1">
      <c r="A545" s="24">
        <f>IF(E545&lt;&gt;"",MONTH(E545),"")</f>
        <v>11</v>
      </c>
      <c r="B545" s="176" t="str">
        <f>IF(AND(MONTH(E545)='IN-NX'!$J$5,'IN-NX'!$D$7=(D545&amp;"/"&amp;C545)),"x","")</f>
        <v/>
      </c>
      <c r="C545" s="279" t="s">
        <v>225</v>
      </c>
      <c r="D545" s="279" t="s">
        <v>220</v>
      </c>
      <c r="E545" s="280">
        <v>42319</v>
      </c>
      <c r="F545" s="281" t="s">
        <v>382</v>
      </c>
      <c r="G545" s="282" t="s">
        <v>386</v>
      </c>
      <c r="H545" s="283" t="s">
        <v>117</v>
      </c>
      <c r="I545" s="284" t="s">
        <v>159</v>
      </c>
      <c r="J545" s="285">
        <v>175158.80460176992</v>
      </c>
      <c r="K545" s="285"/>
      <c r="L545" s="285">
        <f t="shared" ref="L545" si="109">ROUND(J545*K545,0)</f>
        <v>0</v>
      </c>
      <c r="M545" s="285">
        <v>11300</v>
      </c>
      <c r="N545" s="285">
        <f t="shared" ref="N545" si="110">ROUND(J545*M545,0)</f>
        <v>1979294492</v>
      </c>
      <c r="O545" s="15" t="str">
        <f>IF(AND(A545='BANG KE NL'!$M$11,TH!C545="NL",LEFT(D545,1)="N"),"x","")</f>
        <v/>
      </c>
    </row>
    <row r="546" spans="1:16" s="286" customFormat="1" hidden="1">
      <c r="A546" s="24">
        <f t="shared" ref="A546:A547" si="111">IF(E546&lt;&gt;"",MONTH(E546),"")</f>
        <v>11</v>
      </c>
      <c r="B546" s="176" t="str">
        <f>IF(AND(MONTH(E546)='IN-NX'!$J$5,'IN-NX'!$D$7=(D546&amp;"/"&amp;C546)),"x","")</f>
        <v/>
      </c>
      <c r="C546" s="279" t="s">
        <v>225</v>
      </c>
      <c r="D546" s="279" t="s">
        <v>222</v>
      </c>
      <c r="E546" s="280">
        <v>42335</v>
      </c>
      <c r="F546" s="281" t="s">
        <v>165</v>
      </c>
      <c r="G546" s="282" t="s">
        <v>166</v>
      </c>
      <c r="H546" s="283" t="s">
        <v>117</v>
      </c>
      <c r="I546" s="284" t="s">
        <v>159</v>
      </c>
      <c r="J546" s="285">
        <v>195530.19982668979</v>
      </c>
      <c r="K546" s="285"/>
      <c r="L546" s="285">
        <f t="shared" ref="L546:L547" si="112">ROUND(J546*K546,0)</f>
        <v>0</v>
      </c>
      <c r="M546" s="285">
        <v>5770</v>
      </c>
      <c r="N546" s="285">
        <f t="shared" ref="N546:N547" si="113">ROUND(J546*M546,0)</f>
        <v>1128209253</v>
      </c>
      <c r="O546" s="15" t="str">
        <f>IF(AND(A546='BANG KE NL'!$M$11,TH!C546="NL",LEFT(D546,1)="N"),"x","")</f>
        <v/>
      </c>
    </row>
    <row r="547" spans="1:16" s="286" customFormat="1" hidden="1">
      <c r="A547" s="24">
        <f t="shared" si="111"/>
        <v>11</v>
      </c>
      <c r="B547" s="176" t="str">
        <f>IF(AND(MONTH(E547)='IN-NX'!$J$5,'IN-NX'!$D$7=(D547&amp;"/"&amp;C547)),"x","")</f>
        <v/>
      </c>
      <c r="C547" s="279" t="s">
        <v>225</v>
      </c>
      <c r="D547" s="279" t="s">
        <v>222</v>
      </c>
      <c r="E547" s="280">
        <v>42335</v>
      </c>
      <c r="F547" s="281" t="s">
        <v>113</v>
      </c>
      <c r="G547" s="282" t="s">
        <v>166</v>
      </c>
      <c r="H547" s="283" t="s">
        <v>117</v>
      </c>
      <c r="I547" s="284" t="s">
        <v>159</v>
      </c>
      <c r="J547" s="285">
        <v>147834.91838235295</v>
      </c>
      <c r="K547" s="285"/>
      <c r="L547" s="285">
        <f t="shared" si="112"/>
        <v>0</v>
      </c>
      <c r="M547" s="285">
        <v>1360</v>
      </c>
      <c r="N547" s="285">
        <f t="shared" si="113"/>
        <v>201055489</v>
      </c>
      <c r="O547" s="15" t="str">
        <f>IF(AND(A547='BANG KE NL'!$M$11,TH!C547="NL",LEFT(D547,1)="N"),"x","")</f>
        <v/>
      </c>
    </row>
    <row r="548" spans="1:16" s="286" customFormat="1" hidden="1">
      <c r="A548" s="24">
        <f t="shared" ref="A548:A557" si="114">IF(E548&lt;&gt;"",MONTH(E548),"")</f>
        <v>11</v>
      </c>
      <c r="B548" s="176" t="str">
        <f>IF(AND(MONTH(E548)='IN-NX'!$J$5,'IN-NX'!$D$7=(D548&amp;"/"&amp;C548)),"x","")</f>
        <v/>
      </c>
      <c r="C548" s="279" t="s">
        <v>225</v>
      </c>
      <c r="D548" s="279" t="s">
        <v>217</v>
      </c>
      <c r="E548" s="280">
        <v>42337</v>
      </c>
      <c r="F548" s="281" t="s">
        <v>381</v>
      </c>
      <c r="G548" s="282" t="s">
        <v>160</v>
      </c>
      <c r="H548" s="283" t="s">
        <v>159</v>
      </c>
      <c r="I548" s="284" t="s">
        <v>97</v>
      </c>
      <c r="J548" s="285">
        <v>52945.573238866396</v>
      </c>
      <c r="K548" s="285">
        <v>24700</v>
      </c>
      <c r="L548" s="285">
        <f t="shared" ref="L548:L557" si="115">ROUND(J548*K548,0)</f>
        <v>1307755659</v>
      </c>
      <c r="M548" s="285"/>
      <c r="N548" s="285">
        <f t="shared" ref="N548:N557" si="116">ROUND(J548*M548,0)</f>
        <v>0</v>
      </c>
      <c r="O548" s="15" t="str">
        <f>IF(AND(A548='BANG KE NL'!$M$11,TH!C548="NL",LEFT(D548,1)="N"),"x","")</f>
        <v/>
      </c>
      <c r="P548" s="460"/>
    </row>
    <row r="549" spans="1:16" s="286" customFormat="1" hidden="1">
      <c r="A549" s="24">
        <f t="shared" si="114"/>
        <v>11</v>
      </c>
      <c r="B549" s="176" t="str">
        <f>IF(AND(MONTH(E549)='IN-NX'!$J$5,'IN-NX'!$D$7=(D549&amp;"/"&amp;C549)),"x","")</f>
        <v/>
      </c>
      <c r="C549" s="279" t="s">
        <v>225</v>
      </c>
      <c r="D549" s="279" t="s">
        <v>218</v>
      </c>
      <c r="E549" s="280">
        <v>42338</v>
      </c>
      <c r="F549" s="281" t="s">
        <v>395</v>
      </c>
      <c r="G549" s="282" t="s">
        <v>160</v>
      </c>
      <c r="H549" s="283" t="s">
        <v>159</v>
      </c>
      <c r="I549" s="284" t="s">
        <v>97</v>
      </c>
      <c r="J549" s="285">
        <v>233674.06027027027</v>
      </c>
      <c r="K549" s="285">
        <v>3700</v>
      </c>
      <c r="L549" s="285">
        <f t="shared" si="115"/>
        <v>864594023</v>
      </c>
      <c r="M549" s="285"/>
      <c r="N549" s="285">
        <f t="shared" si="116"/>
        <v>0</v>
      </c>
      <c r="O549" s="15" t="str">
        <f>IF(AND(A549='BANG KE NL'!$M$11,TH!C549="NL",LEFT(D549,1)="N"),"x","")</f>
        <v/>
      </c>
    </row>
    <row r="550" spans="1:16" s="286" customFormat="1" hidden="1">
      <c r="A550" s="24">
        <f t="shared" si="114"/>
        <v>11</v>
      </c>
      <c r="B550" s="176" t="str">
        <f>IF(AND(MONTH(E550)='IN-NX'!$J$5,'IN-NX'!$D$7=(D550&amp;"/"&amp;C550)),"x","")</f>
        <v/>
      </c>
      <c r="C550" s="279" t="s">
        <v>225</v>
      </c>
      <c r="D550" s="279" t="s">
        <v>218</v>
      </c>
      <c r="E550" s="280">
        <v>42338</v>
      </c>
      <c r="F550" s="281" t="s">
        <v>96</v>
      </c>
      <c r="G550" s="282" t="s">
        <v>160</v>
      </c>
      <c r="H550" s="283" t="s">
        <v>159</v>
      </c>
      <c r="I550" s="284" t="s">
        <v>97</v>
      </c>
      <c r="J550" s="285">
        <v>207580.99666666667</v>
      </c>
      <c r="K550" s="285">
        <v>1200</v>
      </c>
      <c r="L550" s="285">
        <f t="shared" si="115"/>
        <v>249097196</v>
      </c>
      <c r="M550" s="285"/>
      <c r="N550" s="285">
        <f t="shared" si="116"/>
        <v>0</v>
      </c>
      <c r="O550" s="15" t="str">
        <f>IF(AND(A550='BANG KE NL'!$M$11,TH!C550="NL",LEFT(D550,1)="N"),"x","")</f>
        <v/>
      </c>
    </row>
    <row r="551" spans="1:16" s="286" customFormat="1" hidden="1">
      <c r="A551" s="24">
        <f t="shared" ref="A551:A553" si="117">IF(E551&lt;&gt;"",MONTH(E551),"")</f>
        <v>12</v>
      </c>
      <c r="B551" s="176" t="str">
        <f>IF(AND(MONTH(E551)='IN-NX'!$J$5,'IN-NX'!$D$7=(D551&amp;"/"&amp;C551)),"x","")</f>
        <v/>
      </c>
      <c r="C551" s="279" t="s">
        <v>225</v>
      </c>
      <c r="D551" s="279" t="s">
        <v>214</v>
      </c>
      <c r="E551" s="280">
        <v>42349</v>
      </c>
      <c r="F551" s="281" t="s">
        <v>122</v>
      </c>
      <c r="G551" s="282" t="s">
        <v>160</v>
      </c>
      <c r="H551" s="283" t="s">
        <v>159</v>
      </c>
      <c r="I551" s="284" t="s">
        <v>97</v>
      </c>
      <c r="J551" s="285">
        <v>175639.53483386923</v>
      </c>
      <c r="K551" s="285">
        <v>3732</v>
      </c>
      <c r="L551" s="285">
        <f t="shared" ref="L551:L553" si="118">ROUND(J551*K551,0)</f>
        <v>655486744</v>
      </c>
      <c r="M551" s="285"/>
      <c r="N551" s="285">
        <f t="shared" ref="N551:N553" si="119">ROUND(J551*M551,0)</f>
        <v>0</v>
      </c>
      <c r="O551" s="15" t="str">
        <f>IF(AND(A551='BANG KE NL'!$M$11,TH!C551="NL",LEFT(D551,1)="N"),"x","")</f>
        <v/>
      </c>
      <c r="P551" s="460"/>
    </row>
    <row r="552" spans="1:16" s="286" customFormat="1" hidden="1">
      <c r="A552" s="24">
        <f t="shared" si="117"/>
        <v>12</v>
      </c>
      <c r="B552" s="176" t="str">
        <f>IF(AND(MONTH(E552)='IN-NX'!$J$5,'IN-NX'!$D$7=(D552&amp;"/"&amp;C552)),"x","")</f>
        <v/>
      </c>
      <c r="C552" s="279" t="s">
        <v>225</v>
      </c>
      <c r="D552" s="279" t="s">
        <v>214</v>
      </c>
      <c r="E552" s="280">
        <v>42349</v>
      </c>
      <c r="F552" s="281" t="s">
        <v>121</v>
      </c>
      <c r="G552" s="282" t="s">
        <v>160</v>
      </c>
      <c r="H552" s="283" t="s">
        <v>159</v>
      </c>
      <c r="I552" s="284" t="s">
        <v>97</v>
      </c>
      <c r="J552" s="285">
        <v>176291.86374269007</v>
      </c>
      <c r="K552" s="285">
        <v>5130</v>
      </c>
      <c r="L552" s="285">
        <f t="shared" si="118"/>
        <v>904377261</v>
      </c>
      <c r="M552" s="285"/>
      <c r="N552" s="285">
        <f t="shared" si="119"/>
        <v>0</v>
      </c>
      <c r="O552" s="15" t="str">
        <f>IF(AND(A552='BANG KE NL'!$M$11,TH!C552="NL",LEFT(D552,1)="N"),"x","")</f>
        <v/>
      </c>
    </row>
    <row r="553" spans="1:16" s="286" customFormat="1" hidden="1">
      <c r="A553" s="24">
        <f t="shared" si="117"/>
        <v>12</v>
      </c>
      <c r="B553" s="176" t="str">
        <f>IF(AND(MONTH(E553)='IN-NX'!$J$5,'IN-NX'!$D$7=(D553&amp;"/"&amp;C553)),"x","")</f>
        <v/>
      </c>
      <c r="C553" s="279" t="s">
        <v>225</v>
      </c>
      <c r="D553" s="279" t="s">
        <v>214</v>
      </c>
      <c r="E553" s="280">
        <v>42349</v>
      </c>
      <c r="F553" s="281" t="s">
        <v>120</v>
      </c>
      <c r="G553" s="282" t="s">
        <v>160</v>
      </c>
      <c r="H553" s="283" t="s">
        <v>159</v>
      </c>
      <c r="I553" s="284" t="s">
        <v>97</v>
      </c>
      <c r="J553" s="285">
        <v>101786.61955555556</v>
      </c>
      <c r="K553" s="285">
        <v>2250</v>
      </c>
      <c r="L553" s="285">
        <f t="shared" si="118"/>
        <v>229019894</v>
      </c>
      <c r="M553" s="285"/>
      <c r="N553" s="285">
        <f t="shared" si="119"/>
        <v>0</v>
      </c>
      <c r="O553" s="15" t="str">
        <f>IF(AND(A553='BANG KE NL'!$M$11,TH!C553="NL",LEFT(D553,1)="N"),"x","")</f>
        <v/>
      </c>
    </row>
    <row r="554" spans="1:16" s="286" customFormat="1" hidden="1">
      <c r="A554" s="24">
        <f t="shared" ref="A554" si="120">IF(E554&lt;&gt;"",MONTH(E554),"")</f>
        <v>12</v>
      </c>
      <c r="B554" s="176" t="str">
        <f>IF(AND(MONTH(E554)='IN-NX'!$J$5,'IN-NX'!$D$7=(D554&amp;"/"&amp;C554)),"x","")</f>
        <v/>
      </c>
      <c r="C554" s="279" t="s">
        <v>225</v>
      </c>
      <c r="D554" s="279" t="s">
        <v>215</v>
      </c>
      <c r="E554" s="280">
        <v>42367</v>
      </c>
      <c r="F554" s="281" t="s">
        <v>382</v>
      </c>
      <c r="G554" s="282" t="s">
        <v>160</v>
      </c>
      <c r="H554" s="283" t="s">
        <v>159</v>
      </c>
      <c r="I554" s="284" t="s">
        <v>97</v>
      </c>
      <c r="J554" s="285">
        <v>145799.36866666668</v>
      </c>
      <c r="K554" s="285">
        <v>12000</v>
      </c>
      <c r="L554" s="285">
        <f t="shared" ref="L554" si="121">ROUND(J554*K554,0)</f>
        <v>1749592424</v>
      </c>
      <c r="M554" s="285"/>
      <c r="N554" s="285">
        <f t="shared" ref="N554" si="122">ROUND(J554*M554,0)</f>
        <v>0</v>
      </c>
      <c r="O554" s="15" t="str">
        <f>IF(AND(A554='BANG KE NL'!$M$11,TH!C554="NL",LEFT(D554,1)="N"),"x","")</f>
        <v/>
      </c>
    </row>
    <row r="555" spans="1:16" s="286" customFormat="1">
      <c r="A555" s="24">
        <f t="shared" si="114"/>
        <v>12</v>
      </c>
      <c r="B555" s="176" t="str">
        <f>IF(AND(MONTH(E555)='IN-NX'!$J$5,'IN-NX'!$D$7=(D555&amp;"/"&amp;C555)),"x","")</f>
        <v/>
      </c>
      <c r="C555" s="279" t="s">
        <v>225</v>
      </c>
      <c r="D555" s="279" t="s">
        <v>220</v>
      </c>
      <c r="E555" s="280">
        <v>42341</v>
      </c>
      <c r="F555" s="281" t="s">
        <v>381</v>
      </c>
      <c r="G555" s="282" t="s">
        <v>394</v>
      </c>
      <c r="H555" s="283" t="s">
        <v>117</v>
      </c>
      <c r="I555" s="284" t="s">
        <v>159</v>
      </c>
      <c r="J555" s="285">
        <v>52945.573238866396</v>
      </c>
      <c r="K555" s="285"/>
      <c r="L555" s="285">
        <f t="shared" si="115"/>
        <v>0</v>
      </c>
      <c r="M555" s="285">
        <v>24700</v>
      </c>
      <c r="N555" s="285">
        <f t="shared" si="116"/>
        <v>1307755659</v>
      </c>
      <c r="O555" s="15" t="str">
        <f>IF(AND(A555='BANG KE NL'!$M$11,TH!C555="NL",LEFT(D555,1)="N"),"x","")</f>
        <v/>
      </c>
    </row>
    <row r="556" spans="1:16" s="286" customFormat="1">
      <c r="A556" s="24">
        <f t="shared" si="114"/>
        <v>12</v>
      </c>
      <c r="B556" s="176" t="str">
        <f>IF(AND(MONTH(E556)='IN-NX'!$J$5,'IN-NX'!$D$7=(D556&amp;"/"&amp;C556)),"x","")</f>
        <v/>
      </c>
      <c r="C556" s="279" t="s">
        <v>225</v>
      </c>
      <c r="D556" s="279" t="s">
        <v>221</v>
      </c>
      <c r="E556" s="280">
        <v>42342</v>
      </c>
      <c r="F556" s="281" t="s">
        <v>395</v>
      </c>
      <c r="G556" s="282" t="s">
        <v>162</v>
      </c>
      <c r="H556" s="283" t="s">
        <v>117</v>
      </c>
      <c r="I556" s="284" t="s">
        <v>159</v>
      </c>
      <c r="J556" s="285">
        <v>233674.06027027027</v>
      </c>
      <c r="K556" s="285"/>
      <c r="L556" s="285">
        <f t="shared" si="115"/>
        <v>0</v>
      </c>
      <c r="M556" s="285">
        <v>3700</v>
      </c>
      <c r="N556" s="285">
        <f t="shared" si="116"/>
        <v>864594023</v>
      </c>
      <c r="O556" s="15" t="str">
        <f>IF(AND(A556='BANG KE NL'!$M$11,TH!C556="NL",LEFT(D556,1)="N"),"x","")</f>
        <v/>
      </c>
    </row>
    <row r="557" spans="1:16" s="286" customFormat="1">
      <c r="A557" s="24">
        <f t="shared" si="114"/>
        <v>12</v>
      </c>
      <c r="B557" s="176" t="str">
        <f>IF(AND(MONTH(E557)='IN-NX'!$J$5,'IN-NX'!$D$7=(D557&amp;"/"&amp;C557)),"x","")</f>
        <v/>
      </c>
      <c r="C557" s="279" t="s">
        <v>225</v>
      </c>
      <c r="D557" s="279" t="s">
        <v>222</v>
      </c>
      <c r="E557" s="280">
        <v>42343</v>
      </c>
      <c r="F557" s="281" t="s">
        <v>96</v>
      </c>
      <c r="G557" s="282" t="s">
        <v>161</v>
      </c>
      <c r="H557" s="283" t="s">
        <v>117</v>
      </c>
      <c r="I557" s="284" t="s">
        <v>159</v>
      </c>
      <c r="J557" s="285">
        <v>207580.99666666667</v>
      </c>
      <c r="K557" s="285"/>
      <c r="L557" s="285">
        <f t="shared" si="115"/>
        <v>0</v>
      </c>
      <c r="M557" s="285">
        <v>1200</v>
      </c>
      <c r="N557" s="285">
        <f t="shared" si="116"/>
        <v>249097196</v>
      </c>
      <c r="O557" s="15" t="str">
        <f>IF(AND(A557='BANG KE NL'!$M$11,TH!C557="NL",LEFT(D557,1)="N"),"x","")</f>
        <v/>
      </c>
    </row>
    <row r="558" spans="1:16" s="286" customFormat="1">
      <c r="A558" s="24">
        <f t="shared" ref="A558:A560" si="123">IF(E558&lt;&gt;"",MONTH(E558),"")</f>
        <v>12</v>
      </c>
      <c r="B558" s="176" t="str">
        <f>IF(AND(MONTH(E558)='IN-NX'!$J$5,'IN-NX'!$D$7=(D558&amp;"/"&amp;C558)),"x","")</f>
        <v/>
      </c>
      <c r="C558" s="279" t="s">
        <v>225</v>
      </c>
      <c r="D558" s="279" t="s">
        <v>223</v>
      </c>
      <c r="E558" s="280">
        <v>42349</v>
      </c>
      <c r="F558" s="281" t="s">
        <v>122</v>
      </c>
      <c r="G558" s="282" t="s">
        <v>164</v>
      </c>
      <c r="H558" s="283" t="s">
        <v>117</v>
      </c>
      <c r="I558" s="284" t="s">
        <v>159</v>
      </c>
      <c r="J558" s="285">
        <v>175639.53483386923</v>
      </c>
      <c r="K558" s="285"/>
      <c r="L558" s="285">
        <f t="shared" ref="L558:L561" si="124">ROUND(J558*K558,0)</f>
        <v>0</v>
      </c>
      <c r="M558" s="285">
        <v>3732</v>
      </c>
      <c r="N558" s="285">
        <f t="shared" ref="N558:N561" si="125">ROUND(J558*M558,0)</f>
        <v>655486744</v>
      </c>
      <c r="O558" s="15" t="str">
        <f>IF(AND(A558='BANG KE NL'!$M$11,TH!C558="NL",LEFT(D558,1)="N"),"x","")</f>
        <v/>
      </c>
    </row>
    <row r="559" spans="1:16" s="286" customFormat="1">
      <c r="A559" s="24">
        <f t="shared" si="123"/>
        <v>12</v>
      </c>
      <c r="B559" s="176" t="str">
        <f>IF(AND(MONTH(E559)='IN-NX'!$J$5,'IN-NX'!$D$7=(D559&amp;"/"&amp;C559)),"x","")</f>
        <v/>
      </c>
      <c r="C559" s="279" t="s">
        <v>225</v>
      </c>
      <c r="D559" s="279" t="s">
        <v>223</v>
      </c>
      <c r="E559" s="280">
        <v>42349</v>
      </c>
      <c r="F559" s="281" t="s">
        <v>121</v>
      </c>
      <c r="G559" s="282" t="s">
        <v>164</v>
      </c>
      <c r="H559" s="283" t="s">
        <v>117</v>
      </c>
      <c r="I559" s="284" t="s">
        <v>159</v>
      </c>
      <c r="J559" s="285">
        <v>176291.86374269007</v>
      </c>
      <c r="K559" s="285"/>
      <c r="L559" s="285">
        <f t="shared" si="124"/>
        <v>0</v>
      </c>
      <c r="M559" s="285">
        <v>5130</v>
      </c>
      <c r="N559" s="285">
        <f t="shared" si="125"/>
        <v>904377261</v>
      </c>
      <c r="O559" s="15" t="str">
        <f>IF(AND(A559='BANG KE NL'!$M$11,TH!C559="NL",LEFT(D559,1)="N"),"x","")</f>
        <v/>
      </c>
    </row>
    <row r="560" spans="1:16" s="286" customFormat="1">
      <c r="A560" s="24">
        <f t="shared" si="123"/>
        <v>12</v>
      </c>
      <c r="B560" s="176" t="str">
        <f>IF(AND(MONTH(E560)='IN-NX'!$J$5,'IN-NX'!$D$7=(D560&amp;"/"&amp;C560)),"x","")</f>
        <v/>
      </c>
      <c r="C560" s="279" t="s">
        <v>225</v>
      </c>
      <c r="D560" s="279" t="s">
        <v>223</v>
      </c>
      <c r="E560" s="280">
        <v>42349</v>
      </c>
      <c r="F560" s="281" t="s">
        <v>120</v>
      </c>
      <c r="G560" s="282" t="s">
        <v>164</v>
      </c>
      <c r="H560" s="283" t="s">
        <v>117</v>
      </c>
      <c r="I560" s="284" t="s">
        <v>159</v>
      </c>
      <c r="J560" s="285">
        <v>101786.61955555556</v>
      </c>
      <c r="K560" s="285"/>
      <c r="L560" s="285">
        <f t="shared" si="124"/>
        <v>0</v>
      </c>
      <c r="M560" s="285">
        <v>2250</v>
      </c>
      <c r="N560" s="285">
        <f t="shared" si="125"/>
        <v>229019894</v>
      </c>
      <c r="O560" s="15" t="str">
        <f>IF(AND(A560='BANG KE NL'!$M$11,TH!C560="NL",LEFT(D560,1)="N"),"x","")</f>
        <v/>
      </c>
    </row>
    <row r="561" spans="1:15" s="286" customFormat="1">
      <c r="A561" s="24">
        <f>IF(E561&lt;&gt;"",MONTH(E561),"")</f>
        <v>12</v>
      </c>
      <c r="B561" s="176" t="str">
        <f>IF(AND(MONTH(E561)='IN-NX'!$J$5,'IN-NX'!$D$7=(D561&amp;"/"&amp;C561)),"x","")</f>
        <v/>
      </c>
      <c r="C561" s="279" t="s">
        <v>225</v>
      </c>
      <c r="D561" s="279" t="s">
        <v>230</v>
      </c>
      <c r="E561" s="280">
        <v>42368</v>
      </c>
      <c r="F561" s="281" t="s">
        <v>382</v>
      </c>
      <c r="G561" s="282" t="s">
        <v>386</v>
      </c>
      <c r="H561" s="283" t="s">
        <v>117</v>
      </c>
      <c r="I561" s="284" t="s">
        <v>159</v>
      </c>
      <c r="J561" s="285">
        <v>145799.36866666668</v>
      </c>
      <c r="K561" s="285"/>
      <c r="L561" s="285">
        <f t="shared" si="124"/>
        <v>0</v>
      </c>
      <c r="M561" s="285">
        <v>12000</v>
      </c>
      <c r="N561" s="285">
        <f t="shared" si="125"/>
        <v>1749592424</v>
      </c>
      <c r="O561" s="15" t="str">
        <f>IF(AND(A561='BANG KE NL'!$M$11,TH!C561="NL",LEFT(D561,1)="N"),"x","")</f>
        <v/>
      </c>
    </row>
    <row r="562" spans="1:15" hidden="1">
      <c r="A562" s="24">
        <f t="shared" si="85"/>
        <v>1</v>
      </c>
      <c r="B562" s="176" t="str">
        <f>IF(AND(MONTH(E562)='IN-NX'!$J$5,'IN-NX'!$D$7=(D562&amp;"/"&amp;C562)),"x","")</f>
        <v/>
      </c>
      <c r="C562" s="24" t="s">
        <v>224</v>
      </c>
      <c r="D562" s="24" t="s">
        <v>214</v>
      </c>
      <c r="E562" s="70">
        <v>42005</v>
      </c>
      <c r="F562" s="62" t="s">
        <v>40</v>
      </c>
      <c r="G562" s="19" t="s">
        <v>150</v>
      </c>
      <c r="H562" s="441" t="s">
        <v>145</v>
      </c>
      <c r="I562" s="442" t="s">
        <v>124</v>
      </c>
      <c r="J562" s="15">
        <v>11666.666999999999</v>
      </c>
      <c r="K562" s="15">
        <v>1000</v>
      </c>
      <c r="L562" s="15">
        <f t="shared" ref="L562:L621" si="126">ROUND(J562*K562,0)</f>
        <v>11666667</v>
      </c>
      <c r="M562" s="15"/>
      <c r="N562" s="15">
        <f t="shared" ref="N562:N621" si="127">ROUND(J562*M562,0)</f>
        <v>0</v>
      </c>
      <c r="O562" s="15" t="str">
        <f>IF(AND(A562='BANG KE NL'!$M$11,TH!C562="NL",LEFT(D562,1)="N"),"x","")</f>
        <v/>
      </c>
    </row>
    <row r="563" spans="1:15" hidden="1">
      <c r="A563" s="24">
        <f t="shared" si="85"/>
        <v>1</v>
      </c>
      <c r="B563" s="176" t="str">
        <f>IF(AND(MONTH(E563)='IN-NX'!$J$5,'IN-NX'!$D$7=(D563&amp;"/"&amp;C563)),"x","")</f>
        <v/>
      </c>
      <c r="C563" s="24" t="s">
        <v>224</v>
      </c>
      <c r="D563" s="24" t="s">
        <v>215</v>
      </c>
      <c r="E563" s="70">
        <v>42008</v>
      </c>
      <c r="F563" s="62" t="s">
        <v>125</v>
      </c>
      <c r="G563" s="19" t="s">
        <v>147</v>
      </c>
      <c r="H563" s="441" t="s">
        <v>145</v>
      </c>
      <c r="I563" s="442" t="s">
        <v>124</v>
      </c>
      <c r="J563" s="15">
        <v>290</v>
      </c>
      <c r="K563" s="15">
        <v>61000</v>
      </c>
      <c r="L563" s="15">
        <f t="shared" si="126"/>
        <v>17690000</v>
      </c>
      <c r="M563" s="15"/>
      <c r="N563" s="15">
        <f t="shared" si="127"/>
        <v>0</v>
      </c>
      <c r="O563" s="15" t="str">
        <f>IF(AND(A563='BANG KE NL'!$M$11,TH!C563="NL",LEFT(D563,1)="N"),"x","")</f>
        <v/>
      </c>
    </row>
    <row r="564" spans="1:15" hidden="1">
      <c r="A564" s="24">
        <f t="shared" si="85"/>
        <v>1</v>
      </c>
      <c r="B564" s="176" t="str">
        <f>IF(AND(MONTH(E564)='IN-NX'!$J$5,'IN-NX'!$D$7=(D564&amp;"/"&amp;C564)),"x","")</f>
        <v/>
      </c>
      <c r="C564" s="24" t="s">
        <v>224</v>
      </c>
      <c r="D564" s="24" t="s">
        <v>215</v>
      </c>
      <c r="E564" s="70">
        <v>42008</v>
      </c>
      <c r="F564" s="62" t="s">
        <v>105</v>
      </c>
      <c r="G564" s="19" t="s">
        <v>147</v>
      </c>
      <c r="H564" s="441" t="s">
        <v>145</v>
      </c>
      <c r="I564" s="442" t="s">
        <v>124</v>
      </c>
      <c r="J564" s="15">
        <v>380</v>
      </c>
      <c r="K564" s="15">
        <v>109000</v>
      </c>
      <c r="L564" s="15">
        <f t="shared" si="126"/>
        <v>41420000</v>
      </c>
      <c r="M564" s="15"/>
      <c r="N564" s="15">
        <f t="shared" si="127"/>
        <v>0</v>
      </c>
      <c r="O564" s="15" t="str">
        <f>IF(AND(A564='BANG KE NL'!$M$11,TH!C564="NL",LEFT(D564,1)="N"),"x","")</f>
        <v/>
      </c>
    </row>
    <row r="565" spans="1:15" hidden="1">
      <c r="A565" s="24">
        <f t="shared" si="85"/>
        <v>1</v>
      </c>
      <c r="B565" s="176" t="str">
        <f>IF(AND(MONTH(E565)='IN-NX'!$J$5,'IN-NX'!$D$7=(D565&amp;"/"&amp;C565)),"x","")</f>
        <v/>
      </c>
      <c r="C565" s="24" t="s">
        <v>224</v>
      </c>
      <c r="D565" s="24" t="s">
        <v>215</v>
      </c>
      <c r="E565" s="70">
        <v>42008</v>
      </c>
      <c r="F565" s="62" t="s">
        <v>106</v>
      </c>
      <c r="G565" s="19" t="s">
        <v>147</v>
      </c>
      <c r="H565" s="441" t="s">
        <v>145</v>
      </c>
      <c r="I565" s="442" t="s">
        <v>124</v>
      </c>
      <c r="J565" s="15">
        <v>690</v>
      </c>
      <c r="K565" s="15">
        <v>57200</v>
      </c>
      <c r="L565" s="15">
        <f t="shared" si="126"/>
        <v>39468000</v>
      </c>
      <c r="M565" s="15"/>
      <c r="N565" s="15">
        <f t="shared" si="127"/>
        <v>0</v>
      </c>
      <c r="O565" s="15" t="str">
        <f>IF(AND(A565='BANG KE NL'!$M$11,TH!C565="NL",LEFT(D565,1)="N"),"x","")</f>
        <v/>
      </c>
    </row>
    <row r="566" spans="1:15" hidden="1">
      <c r="A566" s="24">
        <f t="shared" si="85"/>
        <v>1</v>
      </c>
      <c r="B566" s="176" t="str">
        <f>IF(AND(MONTH(E566)='IN-NX'!$J$5,'IN-NX'!$D$7=(D566&amp;"/"&amp;C566)),"x","")</f>
        <v/>
      </c>
      <c r="C566" s="24" t="s">
        <v>224</v>
      </c>
      <c r="D566" s="24" t="s">
        <v>216</v>
      </c>
      <c r="E566" s="70">
        <v>42010</v>
      </c>
      <c r="F566" s="62" t="s">
        <v>66</v>
      </c>
      <c r="G566" s="19" t="s">
        <v>153</v>
      </c>
      <c r="H566" s="441" t="s">
        <v>145</v>
      </c>
      <c r="I566" s="442" t="s">
        <v>124</v>
      </c>
      <c r="J566" s="15">
        <v>21131.31</v>
      </c>
      <c r="K566" s="15">
        <v>450</v>
      </c>
      <c r="L566" s="15">
        <f t="shared" si="126"/>
        <v>9509090</v>
      </c>
      <c r="M566" s="15"/>
      <c r="N566" s="15">
        <f t="shared" si="127"/>
        <v>0</v>
      </c>
      <c r="O566" s="15" t="str">
        <f>IF(AND(A566='BANG KE NL'!$M$11,TH!C566="NL",LEFT(D566,1)="N"),"x","")</f>
        <v/>
      </c>
    </row>
    <row r="567" spans="1:15" hidden="1">
      <c r="A567" s="24">
        <f t="shared" si="85"/>
        <v>1</v>
      </c>
      <c r="B567" s="176" t="str">
        <f>IF(AND(MONTH(E567)='IN-NX'!$J$5,'IN-NX'!$D$7=(D567&amp;"/"&amp;C567)),"x","")</f>
        <v/>
      </c>
      <c r="C567" s="24" t="s">
        <v>224</v>
      </c>
      <c r="D567" s="24" t="s">
        <v>217</v>
      </c>
      <c r="E567" s="70">
        <v>42019</v>
      </c>
      <c r="F567" s="62" t="s">
        <v>47</v>
      </c>
      <c r="G567" s="19" t="s">
        <v>151</v>
      </c>
      <c r="H567" s="441" t="s">
        <v>145</v>
      </c>
      <c r="I567" s="442" t="s">
        <v>124</v>
      </c>
      <c r="J567" s="15">
        <v>16800</v>
      </c>
      <c r="K567" s="15">
        <v>2390</v>
      </c>
      <c r="L567" s="15">
        <f t="shared" si="126"/>
        <v>40152000</v>
      </c>
      <c r="M567" s="15"/>
      <c r="N567" s="15">
        <f t="shared" si="127"/>
        <v>0</v>
      </c>
      <c r="O567" s="15" t="str">
        <f>IF(AND(A567='BANG KE NL'!$M$11,TH!C567="NL",LEFT(D567,1)="N"),"x","")</f>
        <v/>
      </c>
    </row>
    <row r="568" spans="1:15" hidden="1">
      <c r="A568" s="24">
        <f t="shared" si="85"/>
        <v>1</v>
      </c>
      <c r="B568" s="176" t="str">
        <f>IF(AND(MONTH(E568)='IN-NX'!$J$5,'IN-NX'!$D$7=(D568&amp;"/"&amp;C568)),"x","")</f>
        <v/>
      </c>
      <c r="C568" s="24" t="s">
        <v>224</v>
      </c>
      <c r="D568" s="24" t="s">
        <v>217</v>
      </c>
      <c r="E568" s="70">
        <v>42019</v>
      </c>
      <c r="F568" s="62" t="s">
        <v>50</v>
      </c>
      <c r="G568" s="19" t="s">
        <v>151</v>
      </c>
      <c r="H568" s="441" t="s">
        <v>145</v>
      </c>
      <c r="I568" s="442" t="s">
        <v>124</v>
      </c>
      <c r="J568" s="15">
        <v>5950</v>
      </c>
      <c r="K568" s="15">
        <v>250</v>
      </c>
      <c r="L568" s="15">
        <f t="shared" si="126"/>
        <v>1487500</v>
      </c>
      <c r="M568" s="15"/>
      <c r="N568" s="15">
        <f t="shared" si="127"/>
        <v>0</v>
      </c>
      <c r="O568" s="15" t="str">
        <f>IF(AND(A568='BANG KE NL'!$M$11,TH!C568="NL",LEFT(D568,1)="N"),"x","")</f>
        <v/>
      </c>
    </row>
    <row r="569" spans="1:15" hidden="1">
      <c r="A569" s="24">
        <f t="shared" si="85"/>
        <v>1</v>
      </c>
      <c r="B569" s="176" t="str">
        <f>IF(AND(MONTH(E569)='IN-NX'!$J$5,'IN-NX'!$D$7=(D569&amp;"/"&amp;C569)),"x","")</f>
        <v/>
      </c>
      <c r="C569" s="24" t="s">
        <v>224</v>
      </c>
      <c r="D569" s="24" t="s">
        <v>217</v>
      </c>
      <c r="E569" s="70">
        <v>42019</v>
      </c>
      <c r="F569" s="62" t="s">
        <v>63</v>
      </c>
      <c r="G569" s="19" t="s">
        <v>151</v>
      </c>
      <c r="H569" s="441" t="s">
        <v>145</v>
      </c>
      <c r="I569" s="442" t="s">
        <v>124</v>
      </c>
      <c r="J569" s="15">
        <v>18400</v>
      </c>
      <c r="K569" s="15">
        <v>40</v>
      </c>
      <c r="L569" s="15">
        <f t="shared" si="126"/>
        <v>736000</v>
      </c>
      <c r="M569" s="15"/>
      <c r="N569" s="15">
        <f t="shared" si="127"/>
        <v>0</v>
      </c>
      <c r="O569" s="15" t="str">
        <f>IF(AND(A569='BANG KE NL'!$M$11,TH!C569="NL",LEFT(D569,1)="N"),"x","")</f>
        <v/>
      </c>
    </row>
    <row r="570" spans="1:15" hidden="1">
      <c r="A570" s="24">
        <f t="shared" si="85"/>
        <v>1</v>
      </c>
      <c r="B570" s="176" t="str">
        <f>IF(AND(MONTH(E570)='IN-NX'!$J$5,'IN-NX'!$D$7=(D570&amp;"/"&amp;C570)),"x","")</f>
        <v/>
      </c>
      <c r="C570" s="24" t="s">
        <v>224</v>
      </c>
      <c r="D570" s="24" t="s">
        <v>218</v>
      </c>
      <c r="E570" s="70">
        <v>42029</v>
      </c>
      <c r="F570" s="62" t="s">
        <v>123</v>
      </c>
      <c r="G570" s="19" t="s">
        <v>152</v>
      </c>
      <c r="H570" s="441" t="s">
        <v>145</v>
      </c>
      <c r="I570" s="442" t="s">
        <v>124</v>
      </c>
      <c r="J570" s="15">
        <v>35714</v>
      </c>
      <c r="K570" s="15">
        <v>50</v>
      </c>
      <c r="L570" s="15">
        <f t="shared" si="126"/>
        <v>1785700</v>
      </c>
      <c r="M570" s="15"/>
      <c r="N570" s="15">
        <f t="shared" si="127"/>
        <v>0</v>
      </c>
      <c r="O570" s="15" t="str">
        <f>IF(AND(A570='BANG KE NL'!$M$11,TH!C570="NL",LEFT(D570,1)="N"),"x","")</f>
        <v/>
      </c>
    </row>
    <row r="571" spans="1:15" hidden="1">
      <c r="A571" s="24">
        <f t="shared" si="85"/>
        <v>1</v>
      </c>
      <c r="B571" s="176" t="str">
        <f>IF(AND(MONTH(E571)='IN-NX'!$J$5,'IN-NX'!$D$7=(D571&amp;"/"&amp;C571)),"x","")</f>
        <v/>
      </c>
      <c r="C571" s="24" t="s">
        <v>224</v>
      </c>
      <c r="D571" s="24" t="s">
        <v>219</v>
      </c>
      <c r="E571" s="70">
        <v>42032</v>
      </c>
      <c r="F571" s="62" t="s">
        <v>123</v>
      </c>
      <c r="G571" s="19" t="s">
        <v>152</v>
      </c>
      <c r="H571" s="441" t="s">
        <v>145</v>
      </c>
      <c r="I571" s="442" t="s">
        <v>124</v>
      </c>
      <c r="J571" s="15">
        <v>35714</v>
      </c>
      <c r="K571" s="15">
        <v>140</v>
      </c>
      <c r="L571" s="15">
        <f t="shared" si="126"/>
        <v>4999960</v>
      </c>
      <c r="M571" s="15"/>
      <c r="N571" s="15">
        <f t="shared" si="127"/>
        <v>0</v>
      </c>
      <c r="O571" s="15" t="str">
        <f>IF(AND(A571='BANG KE NL'!$M$11,TH!C571="NL",LEFT(D571,1)="N"),"x","")</f>
        <v/>
      </c>
    </row>
    <row r="572" spans="1:15" hidden="1">
      <c r="A572" s="24">
        <f t="shared" si="85"/>
        <v>1</v>
      </c>
      <c r="B572" s="176" t="str">
        <f>IF(AND(MONTH(E572)='IN-NX'!$J$5,'IN-NX'!$D$7=(D572&amp;"/"&amp;C572)),"x","")</f>
        <v/>
      </c>
      <c r="C572" s="173" t="s">
        <v>224</v>
      </c>
      <c r="D572" s="173" t="s">
        <v>220</v>
      </c>
      <c r="E572" s="70">
        <v>42006</v>
      </c>
      <c r="F572" s="62" t="s">
        <v>39</v>
      </c>
      <c r="G572" s="19" t="s">
        <v>229</v>
      </c>
      <c r="H572" s="200" t="s">
        <v>97</v>
      </c>
      <c r="I572" s="57" t="s">
        <v>145</v>
      </c>
      <c r="J572" s="15">
        <v>32728</v>
      </c>
      <c r="K572" s="15"/>
      <c r="L572" s="15">
        <f t="shared" si="126"/>
        <v>0</v>
      </c>
      <c r="M572" s="15">
        <v>250</v>
      </c>
      <c r="N572" s="15">
        <f t="shared" si="127"/>
        <v>8182000</v>
      </c>
      <c r="O572" s="15" t="str">
        <f>IF(AND(A572='BANG KE NL'!$M$11,TH!C572="NL",LEFT(D572,1)="N"),"x","")</f>
        <v/>
      </c>
    </row>
    <row r="573" spans="1:15" hidden="1">
      <c r="A573" s="24">
        <f t="shared" si="85"/>
        <v>1</v>
      </c>
      <c r="B573" s="176" t="str">
        <f>IF(AND(MONTH(E573)='IN-NX'!$J$5,'IN-NX'!$D$7=(D573&amp;"/"&amp;C573)),"x","")</f>
        <v/>
      </c>
      <c r="C573" s="173" t="s">
        <v>224</v>
      </c>
      <c r="D573" s="173" t="s">
        <v>220</v>
      </c>
      <c r="E573" s="70">
        <v>42006</v>
      </c>
      <c r="F573" s="62" t="s">
        <v>49</v>
      </c>
      <c r="G573" s="19" t="s">
        <v>229</v>
      </c>
      <c r="H573" s="200" t="s">
        <v>97</v>
      </c>
      <c r="I573" s="57" t="s">
        <v>145</v>
      </c>
      <c r="J573" s="15">
        <v>46741.2</v>
      </c>
      <c r="K573" s="15"/>
      <c r="L573" s="15">
        <f t="shared" si="126"/>
        <v>0</v>
      </c>
      <c r="M573" s="15">
        <v>200</v>
      </c>
      <c r="N573" s="15">
        <f t="shared" si="127"/>
        <v>9348240</v>
      </c>
      <c r="O573" s="15" t="str">
        <f>IF(AND(A573='BANG KE NL'!$M$11,TH!C573="NL",LEFT(D573,1)="N"),"x","")</f>
        <v/>
      </c>
    </row>
    <row r="574" spans="1:15" hidden="1">
      <c r="A574" s="24">
        <f t="shared" si="85"/>
        <v>1</v>
      </c>
      <c r="B574" s="176" t="str">
        <f>IF(AND(MONTH(E574)='IN-NX'!$J$5,'IN-NX'!$D$7=(D574&amp;"/"&amp;C574)),"x","")</f>
        <v/>
      </c>
      <c r="C574" s="173" t="s">
        <v>224</v>
      </c>
      <c r="D574" s="173" t="s">
        <v>220</v>
      </c>
      <c r="E574" s="70">
        <v>42006</v>
      </c>
      <c r="F574" s="62" t="s">
        <v>40</v>
      </c>
      <c r="G574" s="19" t="s">
        <v>229</v>
      </c>
      <c r="H574" s="177" t="s">
        <v>97</v>
      </c>
      <c r="I574" s="57" t="s">
        <v>145</v>
      </c>
      <c r="J574" s="15">
        <v>11666.666999999999</v>
      </c>
      <c r="K574" s="15"/>
      <c r="L574" s="15">
        <f t="shared" si="126"/>
        <v>0</v>
      </c>
      <c r="M574" s="15">
        <v>200</v>
      </c>
      <c r="N574" s="15">
        <f t="shared" si="127"/>
        <v>2333333</v>
      </c>
      <c r="O574" s="15" t="str">
        <f>IF(AND(A574='BANG KE NL'!$M$11,TH!C574="NL",LEFT(D574,1)="N"),"x","")</f>
        <v/>
      </c>
    </row>
    <row r="575" spans="1:15" hidden="1">
      <c r="A575" s="24">
        <f t="shared" si="85"/>
        <v>1</v>
      </c>
      <c r="B575" s="176" t="str">
        <f>IF(AND(MONTH(E575)='IN-NX'!$J$5,'IN-NX'!$D$7=(D575&amp;"/"&amp;C575)),"x","")</f>
        <v/>
      </c>
      <c r="C575" s="173" t="s">
        <v>224</v>
      </c>
      <c r="D575" s="173" t="s">
        <v>220</v>
      </c>
      <c r="E575" s="70">
        <v>42006</v>
      </c>
      <c r="F575" s="62" t="s">
        <v>66</v>
      </c>
      <c r="G575" s="19" t="s">
        <v>229</v>
      </c>
      <c r="H575" s="200" t="s">
        <v>97</v>
      </c>
      <c r="I575" s="57" t="s">
        <v>145</v>
      </c>
      <c r="J575" s="15">
        <v>23616.16</v>
      </c>
      <c r="K575" s="15"/>
      <c r="L575" s="15">
        <f t="shared" si="126"/>
        <v>0</v>
      </c>
      <c r="M575" s="15">
        <v>150</v>
      </c>
      <c r="N575" s="15">
        <f t="shared" si="127"/>
        <v>3542424</v>
      </c>
      <c r="O575" s="15" t="str">
        <f>IF(AND(A575='BANG KE NL'!$M$11,TH!C575="NL",LEFT(D575,1)="N"),"x","")</f>
        <v/>
      </c>
    </row>
    <row r="576" spans="1:15" hidden="1">
      <c r="A576" s="24">
        <f t="shared" si="85"/>
        <v>1</v>
      </c>
      <c r="B576" s="176" t="str">
        <f>IF(AND(MONTH(E576)='IN-NX'!$J$5,'IN-NX'!$D$7=(D576&amp;"/"&amp;C576)),"x","")</f>
        <v/>
      </c>
      <c r="C576" s="173" t="s">
        <v>224</v>
      </c>
      <c r="D576" s="173" t="s">
        <v>220</v>
      </c>
      <c r="E576" s="70">
        <v>42006</v>
      </c>
      <c r="F576" s="62" t="s">
        <v>41</v>
      </c>
      <c r="G576" s="19" t="s">
        <v>229</v>
      </c>
      <c r="H576" s="200" t="s">
        <v>97</v>
      </c>
      <c r="I576" s="57" t="s">
        <v>145</v>
      </c>
      <c r="J576" s="15">
        <v>3500</v>
      </c>
      <c r="K576" s="15"/>
      <c r="L576" s="15">
        <f t="shared" si="126"/>
        <v>0</v>
      </c>
      <c r="M576" s="15">
        <v>250</v>
      </c>
      <c r="N576" s="15">
        <f t="shared" si="127"/>
        <v>875000</v>
      </c>
      <c r="O576" s="15" t="str">
        <f>IF(AND(A576='BANG KE NL'!$M$11,TH!C576="NL",LEFT(D576,1)="N"),"x","")</f>
        <v/>
      </c>
    </row>
    <row r="577" spans="1:15" hidden="1">
      <c r="A577" s="24">
        <f t="shared" si="85"/>
        <v>1</v>
      </c>
      <c r="B577" s="176" t="str">
        <f>IF(AND(MONTH(E577)='IN-NX'!$J$5,'IN-NX'!$D$7=(D577&amp;"/"&amp;C577)),"x","")</f>
        <v/>
      </c>
      <c r="C577" s="173" t="s">
        <v>224</v>
      </c>
      <c r="D577" s="173" t="s">
        <v>221</v>
      </c>
      <c r="E577" s="70">
        <v>42006</v>
      </c>
      <c r="F577" s="62" t="s">
        <v>108</v>
      </c>
      <c r="G577" s="19" t="s">
        <v>229</v>
      </c>
      <c r="H577" s="200" t="s">
        <v>97</v>
      </c>
      <c r="I577" s="57" t="s">
        <v>145</v>
      </c>
      <c r="J577" s="15">
        <v>3000</v>
      </c>
      <c r="K577" s="15"/>
      <c r="L577" s="15">
        <f t="shared" si="126"/>
        <v>0</v>
      </c>
      <c r="M577" s="15">
        <v>450</v>
      </c>
      <c r="N577" s="15">
        <f t="shared" si="127"/>
        <v>1350000</v>
      </c>
      <c r="O577" s="15" t="str">
        <f>IF(AND(A577='BANG KE NL'!$M$11,TH!C577="NL",LEFT(D577,1)="N"),"x","")</f>
        <v/>
      </c>
    </row>
    <row r="578" spans="1:15" hidden="1">
      <c r="A578" s="24">
        <f t="shared" si="85"/>
        <v>1</v>
      </c>
      <c r="B578" s="176" t="str">
        <f>IF(AND(MONTH(E578)='IN-NX'!$J$5,'IN-NX'!$D$7=(D578&amp;"/"&amp;C578)),"x","")</f>
        <v/>
      </c>
      <c r="C578" s="173" t="s">
        <v>224</v>
      </c>
      <c r="D578" s="173" t="s">
        <v>221</v>
      </c>
      <c r="E578" s="70">
        <v>42006</v>
      </c>
      <c r="F578" s="62" t="s">
        <v>109</v>
      </c>
      <c r="G578" s="19" t="s">
        <v>229</v>
      </c>
      <c r="H578" s="200" t="s">
        <v>97</v>
      </c>
      <c r="I578" s="57" t="s">
        <v>145</v>
      </c>
      <c r="J578" s="15">
        <v>5500</v>
      </c>
      <c r="K578" s="15"/>
      <c r="L578" s="15">
        <f t="shared" si="126"/>
        <v>0</v>
      </c>
      <c r="M578" s="15">
        <v>160</v>
      </c>
      <c r="N578" s="15">
        <f t="shared" si="127"/>
        <v>880000</v>
      </c>
      <c r="O578" s="15" t="str">
        <f>IF(AND(A578='BANG KE NL'!$M$11,TH!C578="NL",LEFT(D578,1)="N"),"x","")</f>
        <v/>
      </c>
    </row>
    <row r="579" spans="1:15" hidden="1">
      <c r="A579" s="24">
        <f t="shared" si="85"/>
        <v>1</v>
      </c>
      <c r="B579" s="176" t="str">
        <f>IF(AND(MONTH(E579)='IN-NX'!$J$5,'IN-NX'!$D$7=(D579&amp;"/"&amp;C579)),"x","")</f>
        <v/>
      </c>
      <c r="C579" s="173" t="s">
        <v>224</v>
      </c>
      <c r="D579" s="173" t="s">
        <v>221</v>
      </c>
      <c r="E579" s="70">
        <v>42006</v>
      </c>
      <c r="F579" s="62" t="s">
        <v>110</v>
      </c>
      <c r="G579" s="19" t="s">
        <v>229</v>
      </c>
      <c r="H579" s="200" t="s">
        <v>97</v>
      </c>
      <c r="I579" s="57" t="s">
        <v>145</v>
      </c>
      <c r="J579" s="15">
        <v>8465.3438901077934</v>
      </c>
      <c r="K579" s="15"/>
      <c r="L579" s="15">
        <f t="shared" si="126"/>
        <v>0</v>
      </c>
      <c r="M579" s="15">
        <v>590</v>
      </c>
      <c r="N579" s="15">
        <f t="shared" si="127"/>
        <v>4994553</v>
      </c>
      <c r="O579" s="15" t="str">
        <f>IF(AND(A579='BANG KE NL'!$M$11,TH!C579="NL",LEFT(D579,1)="N"),"x","")</f>
        <v/>
      </c>
    </row>
    <row r="580" spans="1:15" hidden="1">
      <c r="A580" s="24">
        <f t="shared" si="85"/>
        <v>1</v>
      </c>
      <c r="B580" s="176" t="str">
        <f>IF(AND(MONTH(E580)='IN-NX'!$J$5,'IN-NX'!$D$7=(D580&amp;"/"&amp;C580)),"x","")</f>
        <v/>
      </c>
      <c r="C580" s="173" t="s">
        <v>224</v>
      </c>
      <c r="D580" s="173" t="s">
        <v>222</v>
      </c>
      <c r="E580" s="70">
        <v>42009</v>
      </c>
      <c r="F580" s="62" t="s">
        <v>38</v>
      </c>
      <c r="G580" s="19" t="s">
        <v>229</v>
      </c>
      <c r="H580" s="200" t="s">
        <v>97</v>
      </c>
      <c r="I580" s="57" t="s">
        <v>145</v>
      </c>
      <c r="J580" s="15">
        <v>8700</v>
      </c>
      <c r="K580" s="15"/>
      <c r="L580" s="15">
        <f t="shared" si="126"/>
        <v>0</v>
      </c>
      <c r="M580" s="15">
        <v>215</v>
      </c>
      <c r="N580" s="15">
        <f t="shared" si="127"/>
        <v>1870500</v>
      </c>
      <c r="O580" s="15" t="str">
        <f>IF(AND(A580='BANG KE NL'!$M$11,TH!C580="NL",LEFT(D580,1)="N"),"x","")</f>
        <v/>
      </c>
    </row>
    <row r="581" spans="1:15" hidden="1">
      <c r="A581" s="24">
        <f t="shared" si="85"/>
        <v>1</v>
      </c>
      <c r="B581" s="176" t="str">
        <f>IF(AND(MONTH(E581)='IN-NX'!$J$5,'IN-NX'!$D$7=(D581&amp;"/"&amp;C581)),"x","")</f>
        <v/>
      </c>
      <c r="C581" s="173" t="s">
        <v>224</v>
      </c>
      <c r="D581" s="173" t="s">
        <v>222</v>
      </c>
      <c r="E581" s="70">
        <v>42009</v>
      </c>
      <c r="F581" s="62" t="s">
        <v>54</v>
      </c>
      <c r="G581" s="19" t="s">
        <v>229</v>
      </c>
      <c r="H581" s="200" t="s">
        <v>97</v>
      </c>
      <c r="I581" s="57" t="s">
        <v>145</v>
      </c>
      <c r="J581" s="15">
        <v>323.05080427144196</v>
      </c>
      <c r="K581" s="15"/>
      <c r="L581" s="15">
        <f t="shared" si="126"/>
        <v>0</v>
      </c>
      <c r="M581" s="15">
        <v>450</v>
      </c>
      <c r="N581" s="15">
        <f t="shared" si="127"/>
        <v>145373</v>
      </c>
      <c r="O581" s="15" t="str">
        <f>IF(AND(A581='BANG KE NL'!$M$11,TH!C581="NL",LEFT(D581,1)="N"),"x","")</f>
        <v/>
      </c>
    </row>
    <row r="582" spans="1:15" hidden="1">
      <c r="A582" s="24">
        <f t="shared" si="85"/>
        <v>1</v>
      </c>
      <c r="B582" s="176" t="str">
        <f>IF(AND(MONTH(E582)='IN-NX'!$J$5,'IN-NX'!$D$7=(D582&amp;"/"&amp;C582)),"x","")</f>
        <v/>
      </c>
      <c r="C582" s="173" t="s">
        <v>224</v>
      </c>
      <c r="D582" s="173" t="s">
        <v>222</v>
      </c>
      <c r="E582" s="70">
        <v>42009</v>
      </c>
      <c r="F582" s="62" t="s">
        <v>107</v>
      </c>
      <c r="G582" s="19" t="s">
        <v>229</v>
      </c>
      <c r="H582" s="200" t="s">
        <v>97</v>
      </c>
      <c r="I582" s="57" t="s">
        <v>145</v>
      </c>
      <c r="J582" s="15">
        <v>15000</v>
      </c>
      <c r="K582" s="15"/>
      <c r="L582" s="15">
        <f t="shared" si="126"/>
        <v>0</v>
      </c>
      <c r="M582" s="15">
        <v>130</v>
      </c>
      <c r="N582" s="15">
        <f t="shared" si="127"/>
        <v>1950000</v>
      </c>
      <c r="O582" s="15" t="str">
        <f>IF(AND(A582='BANG KE NL'!$M$11,TH!C582="NL",LEFT(D582,1)="N"),"x","")</f>
        <v/>
      </c>
    </row>
    <row r="583" spans="1:15" hidden="1">
      <c r="A583" s="24">
        <f t="shared" si="85"/>
        <v>1</v>
      </c>
      <c r="B583" s="176" t="str">
        <f>IF(AND(MONTH(E583)='IN-NX'!$J$5,'IN-NX'!$D$7=(D583&amp;"/"&amp;C583)),"x","")</f>
        <v/>
      </c>
      <c r="C583" s="173" t="s">
        <v>224</v>
      </c>
      <c r="D583" s="173" t="s">
        <v>223</v>
      </c>
      <c r="E583" s="70">
        <v>42011</v>
      </c>
      <c r="F583" s="62" t="s">
        <v>50</v>
      </c>
      <c r="G583" s="19" t="s">
        <v>229</v>
      </c>
      <c r="H583" s="200" t="s">
        <v>97</v>
      </c>
      <c r="I583" s="57" t="s">
        <v>145</v>
      </c>
      <c r="J583" s="15">
        <v>5950</v>
      </c>
      <c r="K583" s="15"/>
      <c r="L583" s="15">
        <f t="shared" si="126"/>
        <v>0</v>
      </c>
      <c r="M583" s="15">
        <v>1272</v>
      </c>
      <c r="N583" s="15">
        <f t="shared" si="127"/>
        <v>7568400</v>
      </c>
      <c r="O583" s="15" t="str">
        <f>IF(AND(A583='BANG KE NL'!$M$11,TH!C583="NL",LEFT(D583,1)="N"),"x","")</f>
        <v/>
      </c>
    </row>
    <row r="584" spans="1:15" hidden="1">
      <c r="A584" s="24">
        <f t="shared" si="85"/>
        <v>1</v>
      </c>
      <c r="B584" s="176" t="str">
        <f>IF(AND(MONTH(E584)='IN-NX'!$J$5,'IN-NX'!$D$7=(D584&amp;"/"&amp;C584)),"x","")</f>
        <v/>
      </c>
      <c r="C584" s="173" t="s">
        <v>224</v>
      </c>
      <c r="D584" s="173" t="s">
        <v>223</v>
      </c>
      <c r="E584" s="70">
        <v>42011</v>
      </c>
      <c r="F584" s="62" t="s">
        <v>99</v>
      </c>
      <c r="G584" s="19" t="s">
        <v>229</v>
      </c>
      <c r="H584" s="200" t="s">
        <v>97</v>
      </c>
      <c r="I584" s="57" t="s">
        <v>145</v>
      </c>
      <c r="J584" s="15">
        <v>19100</v>
      </c>
      <c r="K584" s="15"/>
      <c r="L584" s="15">
        <f t="shared" si="126"/>
        <v>0</v>
      </c>
      <c r="M584" s="15">
        <v>50</v>
      </c>
      <c r="N584" s="15">
        <f t="shared" si="127"/>
        <v>955000</v>
      </c>
      <c r="O584" s="15" t="str">
        <f>IF(AND(A584='BANG KE NL'!$M$11,TH!C584="NL",LEFT(D584,1)="N"),"x","")</f>
        <v/>
      </c>
    </row>
    <row r="585" spans="1:15" s="202" customFormat="1" hidden="1">
      <c r="A585" s="24">
        <f t="shared" si="85"/>
        <v>1</v>
      </c>
      <c r="B585" s="176" t="str">
        <f>IF(AND(MONTH(E585)='IN-NX'!$J$5,'IN-NX'!$D$7=(D585&amp;"/"&amp;C585)),"x","")</f>
        <v/>
      </c>
      <c r="C585" s="173" t="s">
        <v>224</v>
      </c>
      <c r="D585" s="173" t="s">
        <v>223</v>
      </c>
      <c r="E585" s="70">
        <v>42011</v>
      </c>
      <c r="F585" s="62" t="s">
        <v>100</v>
      </c>
      <c r="G585" s="19" t="s">
        <v>229</v>
      </c>
      <c r="H585" s="200" t="s">
        <v>97</v>
      </c>
      <c r="I585" s="57" t="s">
        <v>145</v>
      </c>
      <c r="J585" s="15">
        <v>20000</v>
      </c>
      <c r="K585" s="15"/>
      <c r="L585" s="15">
        <f t="shared" si="126"/>
        <v>0</v>
      </c>
      <c r="M585" s="15">
        <v>605</v>
      </c>
      <c r="N585" s="15">
        <f t="shared" si="127"/>
        <v>12100000</v>
      </c>
      <c r="O585" s="15" t="str">
        <f>IF(AND(A585='BANG KE NL'!$M$11,TH!C585="NL",LEFT(D585,1)="N"),"x","")</f>
        <v/>
      </c>
    </row>
    <row r="586" spans="1:15" hidden="1">
      <c r="A586" s="24">
        <f t="shared" si="85"/>
        <v>1</v>
      </c>
      <c r="B586" s="176" t="str">
        <f>IF(AND(MONTH(E586)='IN-NX'!$J$5,'IN-NX'!$D$7=(D586&amp;"/"&amp;C586)),"x","")</f>
        <v/>
      </c>
      <c r="C586" s="173" t="s">
        <v>224</v>
      </c>
      <c r="D586" s="173" t="s">
        <v>230</v>
      </c>
      <c r="E586" s="70">
        <v>42032</v>
      </c>
      <c r="F586" s="62" t="s">
        <v>60</v>
      </c>
      <c r="G586" s="19" t="s">
        <v>229</v>
      </c>
      <c r="H586" s="200" t="s">
        <v>97</v>
      </c>
      <c r="I586" s="57" t="s">
        <v>145</v>
      </c>
      <c r="J586" s="15">
        <v>5000</v>
      </c>
      <c r="K586" s="15"/>
      <c r="L586" s="15">
        <f t="shared" si="126"/>
        <v>0</v>
      </c>
      <c r="M586" s="15">
        <v>1220</v>
      </c>
      <c r="N586" s="15">
        <f t="shared" si="127"/>
        <v>6100000</v>
      </c>
      <c r="O586" s="15" t="str">
        <f>IF(AND(A586='BANG KE NL'!$M$11,TH!C586="NL",LEFT(D586,1)="N"),"x","")</f>
        <v/>
      </c>
    </row>
    <row r="587" spans="1:15" hidden="1">
      <c r="A587" s="24">
        <f t="shared" si="85"/>
        <v>1</v>
      </c>
      <c r="B587" s="176" t="str">
        <f>IF(AND(MONTH(E587)='IN-NX'!$J$5,'IN-NX'!$D$7=(D587&amp;"/"&amp;C587)),"x","")</f>
        <v/>
      </c>
      <c r="C587" s="173" t="s">
        <v>224</v>
      </c>
      <c r="D587" s="173" t="s">
        <v>230</v>
      </c>
      <c r="E587" s="70">
        <v>42032</v>
      </c>
      <c r="F587" s="62" t="s">
        <v>47</v>
      </c>
      <c r="G587" s="19" t="s">
        <v>229</v>
      </c>
      <c r="H587" s="200" t="s">
        <v>97</v>
      </c>
      <c r="I587" s="57" t="s">
        <v>145</v>
      </c>
      <c r="J587" s="15">
        <v>16800</v>
      </c>
      <c r="K587" s="15"/>
      <c r="L587" s="15">
        <f t="shared" si="126"/>
        <v>0</v>
      </c>
      <c r="M587" s="15">
        <v>1570</v>
      </c>
      <c r="N587" s="15">
        <f t="shared" si="127"/>
        <v>26376000</v>
      </c>
      <c r="O587" s="15" t="str">
        <f>IF(AND(A587='BANG KE NL'!$M$11,TH!C587="NL",LEFT(D587,1)="N"),"x","")</f>
        <v/>
      </c>
    </row>
    <row r="588" spans="1:15" hidden="1">
      <c r="A588" s="24">
        <f t="shared" si="85"/>
        <v>2</v>
      </c>
      <c r="B588" s="176" t="str">
        <f>IF(AND(MONTH(E588)='IN-NX'!$J$5,'IN-NX'!$D$7=(D588&amp;"/"&amp;C588)),"x","")</f>
        <v/>
      </c>
      <c r="C588" s="24" t="s">
        <v>224</v>
      </c>
      <c r="D588" s="24" t="s">
        <v>214</v>
      </c>
      <c r="E588" s="70">
        <v>42037</v>
      </c>
      <c r="F588" s="62" t="s">
        <v>128</v>
      </c>
      <c r="G588" s="19" t="s">
        <v>149</v>
      </c>
      <c r="H588" s="198" t="s">
        <v>145</v>
      </c>
      <c r="I588" s="83" t="s">
        <v>124</v>
      </c>
      <c r="J588" s="15">
        <v>380</v>
      </c>
      <c r="K588" s="15">
        <v>20500</v>
      </c>
      <c r="L588" s="15">
        <f t="shared" si="126"/>
        <v>7790000</v>
      </c>
      <c r="M588" s="15"/>
      <c r="N588" s="15">
        <f t="shared" si="127"/>
        <v>0</v>
      </c>
      <c r="O588" s="15" t="str">
        <f>IF(AND(A588='BANG KE NL'!$M$11,TH!C588="NL",LEFT(D588,1)="N"),"x","")</f>
        <v/>
      </c>
    </row>
    <row r="589" spans="1:15" hidden="1">
      <c r="A589" s="24">
        <f t="shared" si="85"/>
        <v>2</v>
      </c>
      <c r="B589" s="176" t="str">
        <f>IF(AND(MONTH(E589)='IN-NX'!$J$5,'IN-NX'!$D$7=(D589&amp;"/"&amp;C589)),"x","")</f>
        <v/>
      </c>
      <c r="C589" s="24" t="s">
        <v>224</v>
      </c>
      <c r="D589" s="24" t="s">
        <v>215</v>
      </c>
      <c r="E589" s="70">
        <v>42042</v>
      </c>
      <c r="F589" s="62" t="s">
        <v>125</v>
      </c>
      <c r="G589" s="19" t="s">
        <v>147</v>
      </c>
      <c r="H589" s="198" t="s">
        <v>145</v>
      </c>
      <c r="I589" s="83" t="s">
        <v>124</v>
      </c>
      <c r="J589" s="15">
        <v>290</v>
      </c>
      <c r="K589" s="15">
        <v>136000</v>
      </c>
      <c r="L589" s="15">
        <f t="shared" si="126"/>
        <v>39440000</v>
      </c>
      <c r="M589" s="15"/>
      <c r="N589" s="15">
        <f t="shared" si="127"/>
        <v>0</v>
      </c>
      <c r="O589" s="15" t="str">
        <f>IF(AND(A589='BANG KE NL'!$M$11,TH!C589="NL",LEFT(D589,1)="N"),"x","")</f>
        <v/>
      </c>
    </row>
    <row r="590" spans="1:15" hidden="1">
      <c r="A590" s="24">
        <f t="shared" si="85"/>
        <v>2</v>
      </c>
      <c r="B590" s="176" t="str">
        <f>IF(AND(MONTH(E590)='IN-NX'!$J$5,'IN-NX'!$D$7=(D590&amp;"/"&amp;C590)),"x","")</f>
        <v/>
      </c>
      <c r="C590" s="24" t="s">
        <v>224</v>
      </c>
      <c r="D590" s="24" t="s">
        <v>215</v>
      </c>
      <c r="E590" s="70">
        <v>42042</v>
      </c>
      <c r="F590" s="62" t="s">
        <v>106</v>
      </c>
      <c r="G590" s="19" t="s">
        <v>147</v>
      </c>
      <c r="H590" s="198" t="s">
        <v>145</v>
      </c>
      <c r="I590" s="83" t="s">
        <v>124</v>
      </c>
      <c r="J590" s="15">
        <v>690</v>
      </c>
      <c r="K590" s="15">
        <v>8290</v>
      </c>
      <c r="L590" s="15">
        <f t="shared" si="126"/>
        <v>5720100</v>
      </c>
      <c r="M590" s="15"/>
      <c r="N590" s="15">
        <f t="shared" si="127"/>
        <v>0</v>
      </c>
      <c r="O590" s="15" t="str">
        <f>IF(AND(A590='BANG KE NL'!$M$11,TH!C590="NL",LEFT(D590,1)="N"),"x","")</f>
        <v/>
      </c>
    </row>
    <row r="591" spans="1:15" hidden="1">
      <c r="A591" s="24">
        <f t="shared" si="85"/>
        <v>2</v>
      </c>
      <c r="B591" s="176" t="str">
        <f>IF(AND(MONTH(E591)='IN-NX'!$J$5,'IN-NX'!$D$7=(D591&amp;"/"&amp;C591)),"x","")</f>
        <v/>
      </c>
      <c r="C591" s="24" t="s">
        <v>224</v>
      </c>
      <c r="D591" s="24" t="s">
        <v>216</v>
      </c>
      <c r="E591" s="70">
        <v>42045</v>
      </c>
      <c r="F591" s="62" t="s">
        <v>129</v>
      </c>
      <c r="G591" s="19" t="s">
        <v>148</v>
      </c>
      <c r="H591" s="198" t="s">
        <v>145</v>
      </c>
      <c r="I591" s="83" t="s">
        <v>124</v>
      </c>
      <c r="J591" s="15">
        <v>20000</v>
      </c>
      <c r="K591" s="15">
        <v>2284</v>
      </c>
      <c r="L591" s="15">
        <f t="shared" si="126"/>
        <v>45680000</v>
      </c>
      <c r="M591" s="15"/>
      <c r="N591" s="15">
        <f t="shared" si="127"/>
        <v>0</v>
      </c>
      <c r="O591" s="15" t="str">
        <f>IF(AND(A591='BANG KE NL'!$M$11,TH!C591="NL",LEFT(D591,1)="N"),"x","")</f>
        <v/>
      </c>
    </row>
    <row r="592" spans="1:15" hidden="1">
      <c r="A592" s="24">
        <f t="shared" si="85"/>
        <v>2</v>
      </c>
      <c r="B592" s="176" t="str">
        <f>IF(AND(MONTH(E592)='IN-NX'!$J$5,'IN-NX'!$D$7=(D592&amp;"/"&amp;C592)),"x","")</f>
        <v/>
      </c>
      <c r="C592" s="24" t="s">
        <v>224</v>
      </c>
      <c r="D592" s="24" t="s">
        <v>216</v>
      </c>
      <c r="E592" s="70">
        <v>42045</v>
      </c>
      <c r="F592" s="62" t="s">
        <v>130</v>
      </c>
      <c r="G592" s="19" t="s">
        <v>148</v>
      </c>
      <c r="H592" s="198" t="s">
        <v>145</v>
      </c>
      <c r="I592" s="83" t="s">
        <v>124</v>
      </c>
      <c r="J592" s="15">
        <v>3500</v>
      </c>
      <c r="K592" s="15">
        <v>7735</v>
      </c>
      <c r="L592" s="15">
        <f t="shared" si="126"/>
        <v>27072500</v>
      </c>
      <c r="M592" s="15"/>
      <c r="N592" s="15">
        <f t="shared" si="127"/>
        <v>0</v>
      </c>
      <c r="O592" s="15" t="str">
        <f>IF(AND(A592='BANG KE NL'!$M$11,TH!C592="NL",LEFT(D592,1)="N"),"x","")</f>
        <v/>
      </c>
    </row>
    <row r="593" spans="1:15" hidden="1">
      <c r="A593" s="24">
        <f t="shared" si="85"/>
        <v>2</v>
      </c>
      <c r="B593" s="176" t="str">
        <f>IF(AND(MONTH(E593)='IN-NX'!$J$5,'IN-NX'!$D$7=(D593&amp;"/"&amp;C593)),"x","")</f>
        <v/>
      </c>
      <c r="C593" s="173" t="s">
        <v>224</v>
      </c>
      <c r="D593" s="173" t="s">
        <v>220</v>
      </c>
      <c r="E593" s="70">
        <v>42037</v>
      </c>
      <c r="F593" s="62" t="s">
        <v>41</v>
      </c>
      <c r="G593" s="19" t="s">
        <v>229</v>
      </c>
      <c r="H593" s="200" t="s">
        <v>97</v>
      </c>
      <c r="I593" s="57" t="s">
        <v>145</v>
      </c>
      <c r="J593" s="15">
        <v>3500</v>
      </c>
      <c r="K593" s="15"/>
      <c r="L593" s="15">
        <f t="shared" si="126"/>
        <v>0</v>
      </c>
      <c r="M593" s="15">
        <v>250</v>
      </c>
      <c r="N593" s="15">
        <f t="shared" si="127"/>
        <v>875000</v>
      </c>
      <c r="O593" s="15" t="str">
        <f>IF(AND(A593='BANG KE NL'!$M$11,TH!C593="NL",LEFT(D593,1)="N"),"x","")</f>
        <v/>
      </c>
    </row>
    <row r="594" spans="1:15" hidden="1">
      <c r="A594" s="24">
        <f t="shared" si="85"/>
        <v>2</v>
      </c>
      <c r="B594" s="176" t="str">
        <f>IF(AND(MONTH(E594)='IN-NX'!$J$5,'IN-NX'!$D$7=(D594&amp;"/"&amp;C594)),"x","")</f>
        <v/>
      </c>
      <c r="C594" s="173" t="s">
        <v>224</v>
      </c>
      <c r="D594" s="173" t="s">
        <v>220</v>
      </c>
      <c r="E594" s="70">
        <v>42037</v>
      </c>
      <c r="F594" s="62" t="s">
        <v>108</v>
      </c>
      <c r="G594" s="19" t="s">
        <v>229</v>
      </c>
      <c r="H594" s="200" t="s">
        <v>97</v>
      </c>
      <c r="I594" s="57" t="s">
        <v>145</v>
      </c>
      <c r="J594" s="15">
        <v>3000</v>
      </c>
      <c r="K594" s="15"/>
      <c r="L594" s="15">
        <f t="shared" si="126"/>
        <v>0</v>
      </c>
      <c r="M594" s="15">
        <v>300</v>
      </c>
      <c r="N594" s="15">
        <f t="shared" si="127"/>
        <v>900000</v>
      </c>
      <c r="O594" s="15" t="str">
        <f>IF(AND(A594='BANG KE NL'!$M$11,TH!C594="NL",LEFT(D594,1)="N"),"x","")</f>
        <v/>
      </c>
    </row>
    <row r="595" spans="1:15" hidden="1">
      <c r="A595" s="24">
        <f t="shared" si="85"/>
        <v>2</v>
      </c>
      <c r="B595" s="176" t="str">
        <f>IF(AND(MONTH(E595)='IN-NX'!$J$5,'IN-NX'!$D$7=(D595&amp;"/"&amp;C595)),"x","")</f>
        <v/>
      </c>
      <c r="C595" s="173" t="s">
        <v>224</v>
      </c>
      <c r="D595" s="173" t="s">
        <v>220</v>
      </c>
      <c r="E595" s="70">
        <v>42037</v>
      </c>
      <c r="F595" s="62" t="s">
        <v>109</v>
      </c>
      <c r="G595" s="19" t="s">
        <v>229</v>
      </c>
      <c r="H595" s="200" t="s">
        <v>97</v>
      </c>
      <c r="I595" s="57" t="s">
        <v>145</v>
      </c>
      <c r="J595" s="15">
        <v>5500</v>
      </c>
      <c r="K595" s="15"/>
      <c r="L595" s="15">
        <f t="shared" si="126"/>
        <v>0</v>
      </c>
      <c r="M595" s="15">
        <v>160</v>
      </c>
      <c r="N595" s="15">
        <f t="shared" si="127"/>
        <v>880000</v>
      </c>
      <c r="O595" s="15" t="str">
        <f>IF(AND(A595='BANG KE NL'!$M$11,TH!C595="NL",LEFT(D595,1)="N"),"x","")</f>
        <v/>
      </c>
    </row>
    <row r="596" spans="1:15" hidden="1">
      <c r="A596" s="24">
        <f t="shared" si="85"/>
        <v>2</v>
      </c>
      <c r="B596" s="176" t="str">
        <f>IF(AND(MONTH(E596)='IN-NX'!$J$5,'IN-NX'!$D$7=(D596&amp;"/"&amp;C596)),"x","")</f>
        <v/>
      </c>
      <c r="C596" s="173" t="s">
        <v>224</v>
      </c>
      <c r="D596" s="173" t="s">
        <v>221</v>
      </c>
      <c r="E596" s="70">
        <v>42045</v>
      </c>
      <c r="F596" s="62" t="s">
        <v>38</v>
      </c>
      <c r="G596" s="19" t="s">
        <v>229</v>
      </c>
      <c r="H596" s="200" t="s">
        <v>97</v>
      </c>
      <c r="I596" s="57" t="s">
        <v>145</v>
      </c>
      <c r="J596" s="15">
        <v>8700</v>
      </c>
      <c r="K596" s="15"/>
      <c r="L596" s="15">
        <f t="shared" si="126"/>
        <v>0</v>
      </c>
      <c r="M596" s="15">
        <v>150</v>
      </c>
      <c r="N596" s="15">
        <f t="shared" si="127"/>
        <v>1305000</v>
      </c>
      <c r="O596" s="15" t="str">
        <f>IF(AND(A596='BANG KE NL'!$M$11,TH!C596="NL",LEFT(D596,1)="N"),"x","")</f>
        <v/>
      </c>
    </row>
    <row r="597" spans="1:15" hidden="1">
      <c r="A597" s="24">
        <f t="shared" si="85"/>
        <v>2</v>
      </c>
      <c r="B597" s="176" t="str">
        <f>IF(AND(MONTH(E597)='IN-NX'!$J$5,'IN-NX'!$D$7=(D597&amp;"/"&amp;C597)),"x","")</f>
        <v/>
      </c>
      <c r="C597" s="173" t="s">
        <v>224</v>
      </c>
      <c r="D597" s="173" t="s">
        <v>221</v>
      </c>
      <c r="E597" s="70">
        <v>42045</v>
      </c>
      <c r="F597" s="62" t="s">
        <v>128</v>
      </c>
      <c r="G597" s="19" t="s">
        <v>229</v>
      </c>
      <c r="H597" s="200" t="s">
        <v>97</v>
      </c>
      <c r="I597" s="57" t="s">
        <v>145</v>
      </c>
      <c r="J597" s="15">
        <v>380</v>
      </c>
      <c r="K597" s="15"/>
      <c r="L597" s="15">
        <f t="shared" si="126"/>
        <v>0</v>
      </c>
      <c r="M597" s="15">
        <v>20500</v>
      </c>
      <c r="N597" s="15">
        <f t="shared" si="127"/>
        <v>7790000</v>
      </c>
      <c r="O597" s="15" t="str">
        <f>IF(AND(A597='BANG KE NL'!$M$11,TH!C597="NL",LEFT(D597,1)="N"),"x","")</f>
        <v/>
      </c>
    </row>
    <row r="598" spans="1:15" hidden="1">
      <c r="A598" s="24">
        <f t="shared" si="85"/>
        <v>2</v>
      </c>
      <c r="B598" s="176" t="str">
        <f>IF(AND(MONTH(E598)='IN-NX'!$J$5,'IN-NX'!$D$7=(D598&amp;"/"&amp;C598)),"x","")</f>
        <v/>
      </c>
      <c r="C598" s="173" t="s">
        <v>224</v>
      </c>
      <c r="D598" s="173" t="s">
        <v>221</v>
      </c>
      <c r="E598" s="70">
        <v>42045</v>
      </c>
      <c r="F598" s="62" t="s">
        <v>54</v>
      </c>
      <c r="G598" s="19" t="s">
        <v>229</v>
      </c>
      <c r="H598" s="200" t="s">
        <v>97</v>
      </c>
      <c r="I598" s="57" t="s">
        <v>145</v>
      </c>
      <c r="J598" s="15">
        <v>323.05080427144196</v>
      </c>
      <c r="K598" s="15"/>
      <c r="L598" s="15">
        <f t="shared" si="126"/>
        <v>0</v>
      </c>
      <c r="M598" s="15">
        <v>350</v>
      </c>
      <c r="N598" s="15">
        <f t="shared" si="127"/>
        <v>113068</v>
      </c>
      <c r="O598" s="15" t="str">
        <f>IF(AND(A598='BANG KE NL'!$M$11,TH!C598="NL",LEFT(D598,1)="N"),"x","")</f>
        <v/>
      </c>
    </row>
    <row r="599" spans="1:15" hidden="1">
      <c r="A599" s="24">
        <f t="shared" si="85"/>
        <v>2</v>
      </c>
      <c r="B599" s="176" t="str">
        <f>IF(AND(MONTH(E599)='IN-NX'!$J$5,'IN-NX'!$D$7=(D599&amp;"/"&amp;C599)),"x","")</f>
        <v/>
      </c>
      <c r="C599" s="173" t="s">
        <v>224</v>
      </c>
      <c r="D599" s="173" t="s">
        <v>221</v>
      </c>
      <c r="E599" s="70">
        <v>42045</v>
      </c>
      <c r="F599" s="62" t="s">
        <v>107</v>
      </c>
      <c r="G599" s="19" t="s">
        <v>229</v>
      </c>
      <c r="H599" s="200" t="s">
        <v>97</v>
      </c>
      <c r="I599" s="57" t="s">
        <v>145</v>
      </c>
      <c r="J599" s="15">
        <v>15000</v>
      </c>
      <c r="K599" s="15"/>
      <c r="L599" s="15">
        <f t="shared" si="126"/>
        <v>0</v>
      </c>
      <c r="M599" s="15">
        <v>100</v>
      </c>
      <c r="N599" s="15">
        <f t="shared" si="127"/>
        <v>1500000</v>
      </c>
      <c r="O599" s="15" t="str">
        <f>IF(AND(A599='BANG KE NL'!$M$11,TH!C599="NL",LEFT(D599,1)="N"),"x","")</f>
        <v/>
      </c>
    </row>
    <row r="600" spans="1:15" hidden="1">
      <c r="A600" s="24">
        <f t="shared" si="85"/>
        <v>2</v>
      </c>
      <c r="B600" s="176" t="str">
        <f>IF(AND(MONTH(E600)='IN-NX'!$J$5,'IN-NX'!$D$7=(D600&amp;"/"&amp;C600)),"x","")</f>
        <v/>
      </c>
      <c r="C600" s="173" t="s">
        <v>224</v>
      </c>
      <c r="D600" s="173" t="s">
        <v>222</v>
      </c>
      <c r="E600" s="70">
        <v>42050</v>
      </c>
      <c r="F600" s="62" t="s">
        <v>105</v>
      </c>
      <c r="G600" s="19" t="s">
        <v>229</v>
      </c>
      <c r="H600" s="200" t="s">
        <v>97</v>
      </c>
      <c r="I600" s="57" t="s">
        <v>145</v>
      </c>
      <c r="J600" s="15">
        <v>155</v>
      </c>
      <c r="K600" s="15"/>
      <c r="L600" s="15">
        <f t="shared" si="126"/>
        <v>0</v>
      </c>
      <c r="M600" s="15">
        <v>90000</v>
      </c>
      <c r="N600" s="15">
        <f t="shared" si="127"/>
        <v>13950000</v>
      </c>
      <c r="O600" s="15" t="str">
        <f>IF(AND(A600='BANG KE NL'!$M$11,TH!C600="NL",LEFT(D600,1)="N"),"x","")</f>
        <v/>
      </c>
    </row>
    <row r="601" spans="1:15" hidden="1">
      <c r="A601" s="24">
        <f t="shared" si="85"/>
        <v>2</v>
      </c>
      <c r="B601" s="176" t="str">
        <f>IF(AND(MONTH(E601)='IN-NX'!$J$5,'IN-NX'!$D$7=(D601&amp;"/"&amp;C601)),"x","")</f>
        <v/>
      </c>
      <c r="C601" s="173" t="s">
        <v>224</v>
      </c>
      <c r="D601" s="173" t="s">
        <v>222</v>
      </c>
      <c r="E601" s="70">
        <v>42050</v>
      </c>
      <c r="F601" s="62" t="s">
        <v>46</v>
      </c>
      <c r="G601" s="19" t="s">
        <v>229</v>
      </c>
      <c r="H601" s="200" t="s">
        <v>97</v>
      </c>
      <c r="I601" s="57" t="s">
        <v>145</v>
      </c>
      <c r="J601" s="15">
        <v>2500</v>
      </c>
      <c r="K601" s="15"/>
      <c r="L601" s="15">
        <f t="shared" si="126"/>
        <v>0</v>
      </c>
      <c r="M601" s="15">
        <v>1750</v>
      </c>
      <c r="N601" s="15">
        <f t="shared" si="127"/>
        <v>4375000</v>
      </c>
      <c r="O601" s="15" t="str">
        <f>IF(AND(A601='BANG KE NL'!$M$11,TH!C601="NL",LEFT(D601,1)="N"),"x","")</f>
        <v/>
      </c>
    </row>
    <row r="602" spans="1:15" hidden="1">
      <c r="A602" s="24">
        <f t="shared" si="85"/>
        <v>2</v>
      </c>
      <c r="B602" s="176" t="str">
        <f>IF(AND(MONTH(E602)='IN-NX'!$J$5,'IN-NX'!$D$7=(D602&amp;"/"&amp;C602)),"x","")</f>
        <v/>
      </c>
      <c r="C602" s="173" t="s">
        <v>224</v>
      </c>
      <c r="D602" s="173" t="s">
        <v>222</v>
      </c>
      <c r="E602" s="70">
        <v>42050</v>
      </c>
      <c r="F602" s="62" t="s">
        <v>105</v>
      </c>
      <c r="G602" s="19" t="s">
        <v>229</v>
      </c>
      <c r="H602" s="200" t="s">
        <v>97</v>
      </c>
      <c r="I602" s="57" t="s">
        <v>145</v>
      </c>
      <c r="J602" s="15">
        <v>155</v>
      </c>
      <c r="K602" s="15"/>
      <c r="L602" s="15">
        <f t="shared" si="126"/>
        <v>0</v>
      </c>
      <c r="M602" s="15">
        <v>375000</v>
      </c>
      <c r="N602" s="15">
        <f t="shared" si="127"/>
        <v>58125000</v>
      </c>
      <c r="O602" s="15" t="str">
        <f>IF(AND(A602='BANG KE NL'!$M$11,TH!C602="NL",LEFT(D602,1)="N"),"x","")</f>
        <v/>
      </c>
    </row>
    <row r="603" spans="1:15" hidden="1">
      <c r="A603" s="24">
        <f t="shared" si="85"/>
        <v>2</v>
      </c>
      <c r="B603" s="176" t="str">
        <f>IF(AND(MONTH(E603)='IN-NX'!$J$5,'IN-NX'!$D$7=(D603&amp;"/"&amp;C603)),"x","")</f>
        <v/>
      </c>
      <c r="C603" s="173" t="s">
        <v>224</v>
      </c>
      <c r="D603" s="173" t="s">
        <v>222</v>
      </c>
      <c r="E603" s="70">
        <v>42050</v>
      </c>
      <c r="F603" s="62" t="s">
        <v>129</v>
      </c>
      <c r="G603" s="19" t="s">
        <v>229</v>
      </c>
      <c r="H603" s="200" t="s">
        <v>97</v>
      </c>
      <c r="I603" s="57" t="s">
        <v>145</v>
      </c>
      <c r="J603" s="15">
        <v>20000</v>
      </c>
      <c r="K603" s="15"/>
      <c r="L603" s="15">
        <f t="shared" si="126"/>
        <v>0</v>
      </c>
      <c r="M603" s="15">
        <v>2284</v>
      </c>
      <c r="N603" s="15">
        <f t="shared" si="127"/>
        <v>45680000</v>
      </c>
      <c r="O603" s="15" t="str">
        <f>IF(AND(A603='BANG KE NL'!$M$11,TH!C603="NL",LEFT(D603,1)="N"),"x","")</f>
        <v/>
      </c>
    </row>
    <row r="604" spans="1:15" hidden="1">
      <c r="A604" s="24">
        <f t="shared" si="85"/>
        <v>2</v>
      </c>
      <c r="B604" s="176" t="str">
        <f>IF(AND(MONTH(E604)='IN-NX'!$J$5,'IN-NX'!$D$7=(D604&amp;"/"&amp;C604)),"x","")</f>
        <v/>
      </c>
      <c r="C604" s="173" t="s">
        <v>224</v>
      </c>
      <c r="D604" s="173" t="s">
        <v>223</v>
      </c>
      <c r="E604" s="70">
        <v>42059</v>
      </c>
      <c r="F604" s="62" t="s">
        <v>106</v>
      </c>
      <c r="G604" s="19" t="s">
        <v>229</v>
      </c>
      <c r="H604" s="200" t="s">
        <v>97</v>
      </c>
      <c r="I604" s="57" t="s">
        <v>145</v>
      </c>
      <c r="J604" s="15">
        <v>429</v>
      </c>
      <c r="K604" s="15"/>
      <c r="L604" s="15">
        <f t="shared" si="126"/>
        <v>0</v>
      </c>
      <c r="M604" s="15">
        <v>100</v>
      </c>
      <c r="N604" s="15">
        <f t="shared" si="127"/>
        <v>42900</v>
      </c>
      <c r="O604" s="15" t="str">
        <f>IF(AND(A604='BANG KE NL'!$M$11,TH!C604="NL",LEFT(D604,1)="N"),"x","")</f>
        <v/>
      </c>
    </row>
    <row r="605" spans="1:15" hidden="1">
      <c r="A605" s="24">
        <f t="shared" si="85"/>
        <v>2</v>
      </c>
      <c r="B605" s="176" t="str">
        <f>IF(AND(MONTH(E605)='IN-NX'!$J$5,'IN-NX'!$D$7=(D605&amp;"/"&amp;C605)),"x","")</f>
        <v/>
      </c>
      <c r="C605" s="173" t="s">
        <v>224</v>
      </c>
      <c r="D605" s="173" t="s">
        <v>223</v>
      </c>
      <c r="E605" s="70">
        <v>42059</v>
      </c>
      <c r="F605" s="62" t="s">
        <v>106</v>
      </c>
      <c r="G605" s="19" t="s">
        <v>229</v>
      </c>
      <c r="H605" s="200" t="s">
        <v>97</v>
      </c>
      <c r="I605" s="57" t="s">
        <v>145</v>
      </c>
      <c r="J605" s="15">
        <v>690</v>
      </c>
      <c r="K605" s="15"/>
      <c r="L605" s="15">
        <f t="shared" si="126"/>
        <v>0</v>
      </c>
      <c r="M605" s="15">
        <v>50500</v>
      </c>
      <c r="N605" s="15">
        <f t="shared" si="127"/>
        <v>34845000</v>
      </c>
      <c r="O605" s="15" t="str">
        <f>IF(AND(A605='BANG KE NL'!$M$11,TH!C605="NL",LEFT(D605,1)="N"),"x","")</f>
        <v/>
      </c>
    </row>
    <row r="606" spans="1:15" hidden="1">
      <c r="A606" s="24">
        <f t="shared" si="85"/>
        <v>2</v>
      </c>
      <c r="B606" s="176" t="str">
        <f>IF(AND(MONTH(E606)='IN-NX'!$J$5,'IN-NX'!$D$7=(D606&amp;"/"&amp;C606)),"x","")</f>
        <v/>
      </c>
      <c r="C606" s="173" t="s">
        <v>224</v>
      </c>
      <c r="D606" s="173" t="s">
        <v>223</v>
      </c>
      <c r="E606" s="70">
        <v>42059</v>
      </c>
      <c r="F606" s="62" t="s">
        <v>46</v>
      </c>
      <c r="G606" s="19" t="s">
        <v>229</v>
      </c>
      <c r="H606" s="200" t="s">
        <v>97</v>
      </c>
      <c r="I606" s="57" t="s">
        <v>145</v>
      </c>
      <c r="J606" s="15">
        <v>2500</v>
      </c>
      <c r="K606" s="15"/>
      <c r="L606" s="15">
        <f t="shared" si="126"/>
        <v>0</v>
      </c>
      <c r="M606" s="15">
        <v>2550</v>
      </c>
      <c r="N606" s="15">
        <f t="shared" si="127"/>
        <v>6375000</v>
      </c>
      <c r="O606" s="15" t="str">
        <f>IF(AND(A606='BANG KE NL'!$M$11,TH!C606="NL",LEFT(D606,1)="N"),"x","")</f>
        <v/>
      </c>
    </row>
    <row r="607" spans="1:15" hidden="1">
      <c r="A607" s="24">
        <f t="shared" si="85"/>
        <v>2</v>
      </c>
      <c r="B607" s="176" t="str">
        <f>IF(AND(MONTH(E607)='IN-NX'!$J$5,'IN-NX'!$D$7=(D607&amp;"/"&amp;C607)),"x","")</f>
        <v/>
      </c>
      <c r="C607" s="173" t="s">
        <v>224</v>
      </c>
      <c r="D607" s="173" t="s">
        <v>223</v>
      </c>
      <c r="E607" s="70">
        <v>42059</v>
      </c>
      <c r="F607" s="62" t="s">
        <v>56</v>
      </c>
      <c r="G607" s="19" t="s">
        <v>229</v>
      </c>
      <c r="H607" s="200" t="s">
        <v>97</v>
      </c>
      <c r="I607" s="57" t="s">
        <v>145</v>
      </c>
      <c r="J607" s="15">
        <v>18300</v>
      </c>
      <c r="K607" s="15"/>
      <c r="L607" s="15">
        <f t="shared" si="126"/>
        <v>0</v>
      </c>
      <c r="M607" s="15">
        <v>620</v>
      </c>
      <c r="N607" s="15">
        <f t="shared" si="127"/>
        <v>11346000</v>
      </c>
      <c r="O607" s="15" t="str">
        <f>IF(AND(A607='BANG KE NL'!$M$11,TH!C607="NL",LEFT(D607,1)="N"),"x","")</f>
        <v/>
      </c>
    </row>
    <row r="608" spans="1:15" hidden="1">
      <c r="A608" s="24">
        <f t="shared" si="85"/>
        <v>2</v>
      </c>
      <c r="B608" s="176" t="str">
        <f>IF(AND(MONTH(E608)='IN-NX'!$J$5,'IN-NX'!$D$7=(D608&amp;"/"&amp;C608)),"x","")</f>
        <v/>
      </c>
      <c r="C608" s="173" t="s">
        <v>224</v>
      </c>
      <c r="D608" s="173" t="s">
        <v>230</v>
      </c>
      <c r="E608" s="70">
        <v>42061</v>
      </c>
      <c r="F608" s="62" t="s">
        <v>125</v>
      </c>
      <c r="G608" s="19" t="s">
        <v>229</v>
      </c>
      <c r="H608" s="200" t="s">
        <v>97</v>
      </c>
      <c r="I608" s="57" t="s">
        <v>145</v>
      </c>
      <c r="J608" s="15">
        <v>290</v>
      </c>
      <c r="K608" s="15"/>
      <c r="L608" s="15">
        <f t="shared" si="126"/>
        <v>0</v>
      </c>
      <c r="M608" s="15">
        <v>162000</v>
      </c>
      <c r="N608" s="15">
        <f t="shared" si="127"/>
        <v>46980000</v>
      </c>
      <c r="O608" s="15" t="str">
        <f>IF(AND(A608='BANG KE NL'!$M$11,TH!C608="NL",LEFT(D608,1)="N"),"x","")</f>
        <v/>
      </c>
    </row>
    <row r="609" spans="1:15" hidden="1">
      <c r="A609" s="24">
        <f t="shared" si="85"/>
        <v>2</v>
      </c>
      <c r="B609" s="176" t="str">
        <f>IF(AND(MONTH(E609)='IN-NX'!$J$5,'IN-NX'!$D$7=(D609&amp;"/"&amp;C609)),"x","")</f>
        <v/>
      </c>
      <c r="C609" s="173" t="s">
        <v>224</v>
      </c>
      <c r="D609" s="173" t="s">
        <v>230</v>
      </c>
      <c r="E609" s="70">
        <v>42061</v>
      </c>
      <c r="F609" s="62" t="s">
        <v>46</v>
      </c>
      <c r="G609" s="19" t="s">
        <v>229</v>
      </c>
      <c r="H609" s="200" t="s">
        <v>97</v>
      </c>
      <c r="I609" s="57" t="s">
        <v>145</v>
      </c>
      <c r="J609" s="15">
        <v>2500</v>
      </c>
      <c r="K609" s="15"/>
      <c r="L609" s="15">
        <f t="shared" si="126"/>
        <v>0</v>
      </c>
      <c r="M609" s="15">
        <v>2700</v>
      </c>
      <c r="N609" s="15">
        <f t="shared" si="127"/>
        <v>6750000</v>
      </c>
      <c r="O609" s="15" t="str">
        <f>IF(AND(A609='BANG KE NL'!$M$11,TH!C609="NL",LEFT(D609,1)="N"),"x","")</f>
        <v/>
      </c>
    </row>
    <row r="610" spans="1:15" hidden="1">
      <c r="A610" s="24">
        <f t="shared" si="85"/>
        <v>3</v>
      </c>
      <c r="B610" s="176" t="str">
        <f>IF(AND(MONTH(E610)='IN-NX'!$J$5,'IN-NX'!$D$7=(D610&amp;"/"&amp;C610)),"x","")</f>
        <v/>
      </c>
      <c r="C610" s="173" t="s">
        <v>224</v>
      </c>
      <c r="D610" s="173" t="s">
        <v>214</v>
      </c>
      <c r="E610" s="70">
        <v>42068</v>
      </c>
      <c r="F610" s="62" t="s">
        <v>38</v>
      </c>
      <c r="G610" s="19" t="s">
        <v>275</v>
      </c>
      <c r="H610" s="200" t="s">
        <v>145</v>
      </c>
      <c r="I610" s="57" t="s">
        <v>124</v>
      </c>
      <c r="J610" s="15">
        <v>8500</v>
      </c>
      <c r="K610" s="15">
        <v>600</v>
      </c>
      <c r="L610" s="15">
        <f t="shared" si="126"/>
        <v>5100000</v>
      </c>
      <c r="M610" s="15"/>
      <c r="N610" s="15">
        <f t="shared" si="127"/>
        <v>0</v>
      </c>
      <c r="O610" s="15" t="str">
        <f>IF(AND(A610='BANG KE NL'!$M$11,TH!C610="NL",LEFT(D610,1)="N"),"x","")</f>
        <v/>
      </c>
    </row>
    <row r="611" spans="1:15" hidden="1">
      <c r="A611" s="24">
        <f t="shared" si="85"/>
        <v>3</v>
      </c>
      <c r="B611" s="176" t="str">
        <f>IF(AND(MONTH(E611)='IN-NX'!$J$5,'IN-NX'!$D$7=(D611&amp;"/"&amp;C611)),"x","")</f>
        <v/>
      </c>
      <c r="C611" s="173" t="s">
        <v>224</v>
      </c>
      <c r="D611" s="173" t="s">
        <v>215</v>
      </c>
      <c r="E611" s="70">
        <v>42075</v>
      </c>
      <c r="F611" s="62" t="s">
        <v>123</v>
      </c>
      <c r="G611" s="19" t="s">
        <v>152</v>
      </c>
      <c r="H611" s="200" t="s">
        <v>145</v>
      </c>
      <c r="I611" s="57" t="s">
        <v>124</v>
      </c>
      <c r="J611" s="15">
        <v>35000</v>
      </c>
      <c r="K611" s="15">
        <v>50</v>
      </c>
      <c r="L611" s="15">
        <f t="shared" si="126"/>
        <v>1750000</v>
      </c>
      <c r="M611" s="15"/>
      <c r="N611" s="15">
        <f t="shared" si="127"/>
        <v>0</v>
      </c>
      <c r="O611" s="15" t="str">
        <f>IF(AND(A611='BANG KE NL'!$M$11,TH!C611="NL",LEFT(D611,1)="N"),"x","")</f>
        <v/>
      </c>
    </row>
    <row r="612" spans="1:15" hidden="1">
      <c r="A612" s="24">
        <f t="shared" si="85"/>
        <v>3</v>
      </c>
      <c r="B612" s="176" t="str">
        <f>IF(AND(MONTH(E612)='IN-NX'!$J$5,'IN-NX'!$D$7=(D612&amp;"/"&amp;C612)),"x","")</f>
        <v/>
      </c>
      <c r="C612" s="173" t="s">
        <v>224</v>
      </c>
      <c r="D612" s="173" t="s">
        <v>216</v>
      </c>
      <c r="E612" s="70">
        <v>42079</v>
      </c>
      <c r="F612" s="62" t="s">
        <v>47</v>
      </c>
      <c r="G612" s="19" t="s">
        <v>151</v>
      </c>
      <c r="H612" s="200" t="s">
        <v>145</v>
      </c>
      <c r="I612" s="57" t="s">
        <v>124</v>
      </c>
      <c r="J612" s="15">
        <v>16800</v>
      </c>
      <c r="K612" s="15">
        <v>165</v>
      </c>
      <c r="L612" s="15">
        <f t="shared" si="126"/>
        <v>2772000</v>
      </c>
      <c r="M612" s="15"/>
      <c r="N612" s="15">
        <f t="shared" si="127"/>
        <v>0</v>
      </c>
      <c r="O612" s="15" t="str">
        <f>IF(AND(A612='BANG KE NL'!$M$11,TH!C612="NL",LEFT(D612,1)="N"),"x","")</f>
        <v/>
      </c>
    </row>
    <row r="613" spans="1:15" hidden="1">
      <c r="A613" s="24">
        <f t="shared" ref="A613:A676" si="128">IF(E613&lt;&gt;"",MONTH(E613),"")</f>
        <v>3</v>
      </c>
      <c r="B613" s="176" t="str">
        <f>IF(AND(MONTH(E613)='IN-NX'!$J$5,'IN-NX'!$D$7=(D613&amp;"/"&amp;C613)),"x","")</f>
        <v/>
      </c>
      <c r="C613" s="173" t="s">
        <v>224</v>
      </c>
      <c r="D613" s="173" t="s">
        <v>216</v>
      </c>
      <c r="E613" s="70">
        <v>42079</v>
      </c>
      <c r="F613" s="62" t="s">
        <v>276</v>
      </c>
      <c r="G613" s="19" t="s">
        <v>151</v>
      </c>
      <c r="H613" s="200" t="s">
        <v>145</v>
      </c>
      <c r="I613" s="57" t="s">
        <v>124</v>
      </c>
      <c r="J613" s="15">
        <v>12000</v>
      </c>
      <c r="K613" s="15">
        <v>625</v>
      </c>
      <c r="L613" s="15">
        <f t="shared" si="126"/>
        <v>7500000</v>
      </c>
      <c r="M613" s="15"/>
      <c r="N613" s="15">
        <f t="shared" si="127"/>
        <v>0</v>
      </c>
      <c r="O613" s="15" t="str">
        <f>IF(AND(A613='BANG KE NL'!$M$11,TH!C613="NL",LEFT(D613,1)="N"),"x","")</f>
        <v/>
      </c>
    </row>
    <row r="614" spans="1:15" hidden="1">
      <c r="A614" s="24">
        <f t="shared" si="128"/>
        <v>3</v>
      </c>
      <c r="B614" s="176" t="str">
        <f>IF(AND(MONTH(E614)='IN-NX'!$J$5,'IN-NX'!$D$7=(D614&amp;"/"&amp;C614)),"x","")</f>
        <v/>
      </c>
      <c r="C614" s="173" t="s">
        <v>224</v>
      </c>
      <c r="D614" s="173" t="s">
        <v>217</v>
      </c>
      <c r="E614" s="70">
        <v>42080</v>
      </c>
      <c r="F614" s="62" t="s">
        <v>47</v>
      </c>
      <c r="G614" s="19" t="s">
        <v>151</v>
      </c>
      <c r="H614" s="200" t="s">
        <v>145</v>
      </c>
      <c r="I614" s="57" t="s">
        <v>124</v>
      </c>
      <c r="J614" s="15">
        <v>16800</v>
      </c>
      <c r="K614" s="15">
        <v>1200</v>
      </c>
      <c r="L614" s="15">
        <f t="shared" si="126"/>
        <v>20160000</v>
      </c>
      <c r="M614" s="15"/>
      <c r="N614" s="15">
        <f t="shared" si="127"/>
        <v>0</v>
      </c>
      <c r="O614" s="15" t="str">
        <f>IF(AND(A614='BANG KE NL'!$M$11,TH!C614="NL",LEFT(D614,1)="N"),"x","")</f>
        <v/>
      </c>
    </row>
    <row r="615" spans="1:15" hidden="1">
      <c r="A615" s="24">
        <f t="shared" si="128"/>
        <v>3</v>
      </c>
      <c r="B615" s="176" t="str">
        <f>IF(AND(MONTH(E615)='IN-NX'!$J$5,'IN-NX'!$D$7=(D615&amp;"/"&amp;C615)),"x","")</f>
        <v/>
      </c>
      <c r="C615" s="173" t="s">
        <v>224</v>
      </c>
      <c r="D615" s="173" t="s">
        <v>217</v>
      </c>
      <c r="E615" s="70">
        <v>42080</v>
      </c>
      <c r="F615" s="62" t="s">
        <v>47</v>
      </c>
      <c r="G615" s="19" t="s">
        <v>151</v>
      </c>
      <c r="H615" s="200" t="s">
        <v>145</v>
      </c>
      <c r="I615" s="57" t="s">
        <v>124</v>
      </c>
      <c r="J615" s="15">
        <v>5000</v>
      </c>
      <c r="K615" s="15">
        <v>1190</v>
      </c>
      <c r="L615" s="15">
        <f t="shared" si="126"/>
        <v>5950000</v>
      </c>
      <c r="M615" s="15"/>
      <c r="N615" s="15">
        <f t="shared" si="127"/>
        <v>0</v>
      </c>
      <c r="O615" s="15" t="str">
        <f>IF(AND(A615='BANG KE NL'!$M$11,TH!C615="NL",LEFT(D615,1)="N"),"x","")</f>
        <v/>
      </c>
    </row>
    <row r="616" spans="1:15" hidden="1">
      <c r="A616" s="24">
        <f t="shared" si="128"/>
        <v>3</v>
      </c>
      <c r="B616" s="176" t="str">
        <f>IF(AND(MONTH(E616)='IN-NX'!$J$5,'IN-NX'!$D$7=(D616&amp;"/"&amp;C616)),"x","")</f>
        <v/>
      </c>
      <c r="C616" s="173" t="s">
        <v>224</v>
      </c>
      <c r="D616" s="173" t="s">
        <v>218</v>
      </c>
      <c r="E616" s="70">
        <v>42081</v>
      </c>
      <c r="F616" s="62" t="s">
        <v>125</v>
      </c>
      <c r="G616" s="19" t="s">
        <v>151</v>
      </c>
      <c r="H616" s="200" t="s">
        <v>145</v>
      </c>
      <c r="I616" s="57" t="s">
        <v>124</v>
      </c>
      <c r="J616" s="15">
        <v>290</v>
      </c>
      <c r="K616" s="15">
        <v>30000</v>
      </c>
      <c r="L616" s="15">
        <f t="shared" si="126"/>
        <v>8700000</v>
      </c>
      <c r="M616" s="15"/>
      <c r="N616" s="15">
        <f t="shared" si="127"/>
        <v>0</v>
      </c>
      <c r="O616" s="15" t="str">
        <f>IF(AND(A616='BANG KE NL'!$M$11,TH!C616="NL",LEFT(D616,1)="N"),"x","")</f>
        <v/>
      </c>
    </row>
    <row r="617" spans="1:15" hidden="1">
      <c r="A617" s="24">
        <f t="shared" si="128"/>
        <v>3</v>
      </c>
      <c r="B617" s="176" t="str">
        <f>IF(AND(MONTH(E617)='IN-NX'!$J$5,'IN-NX'!$D$7=(D617&amp;"/"&amp;C617)),"x","")</f>
        <v/>
      </c>
      <c r="C617" s="173" t="s">
        <v>224</v>
      </c>
      <c r="D617" s="173" t="s">
        <v>218</v>
      </c>
      <c r="E617" s="70">
        <v>42081</v>
      </c>
      <c r="F617" s="62" t="s">
        <v>105</v>
      </c>
      <c r="G617" s="19" t="s">
        <v>151</v>
      </c>
      <c r="H617" s="200" t="s">
        <v>145</v>
      </c>
      <c r="I617" s="57" t="s">
        <v>124</v>
      </c>
      <c r="J617" s="15">
        <v>390</v>
      </c>
      <c r="K617" s="15">
        <v>21000</v>
      </c>
      <c r="L617" s="15">
        <f t="shared" si="126"/>
        <v>8190000</v>
      </c>
      <c r="M617" s="15"/>
      <c r="N617" s="15">
        <f t="shared" si="127"/>
        <v>0</v>
      </c>
      <c r="O617" s="15" t="str">
        <f>IF(AND(A617='BANG KE NL'!$M$11,TH!C617="NL",LEFT(D617,1)="N"),"x","")</f>
        <v/>
      </c>
    </row>
    <row r="618" spans="1:15" hidden="1">
      <c r="A618" s="24">
        <f t="shared" si="128"/>
        <v>3</v>
      </c>
      <c r="B618" s="176" t="str">
        <f>IF(AND(MONTH(E618)='IN-NX'!$J$5,'IN-NX'!$D$7=(D618&amp;"/"&amp;C618)),"x","")</f>
        <v/>
      </c>
      <c r="C618" s="173" t="s">
        <v>224</v>
      </c>
      <c r="D618" s="173" t="s">
        <v>218</v>
      </c>
      <c r="E618" s="70">
        <v>42081</v>
      </c>
      <c r="F618" s="62" t="s">
        <v>106</v>
      </c>
      <c r="G618" s="19" t="s">
        <v>151</v>
      </c>
      <c r="H618" s="200" t="s">
        <v>145</v>
      </c>
      <c r="I618" s="57" t="s">
        <v>124</v>
      </c>
      <c r="J618" s="15">
        <v>650</v>
      </c>
      <c r="K618" s="15">
        <v>25000</v>
      </c>
      <c r="L618" s="15">
        <f t="shared" si="126"/>
        <v>16250000</v>
      </c>
      <c r="M618" s="15"/>
      <c r="N618" s="15">
        <f t="shared" si="127"/>
        <v>0</v>
      </c>
      <c r="O618" s="15" t="str">
        <f>IF(AND(A618='BANG KE NL'!$M$11,TH!C618="NL",LEFT(D618,1)="N"),"x","")</f>
        <v/>
      </c>
    </row>
    <row r="619" spans="1:15" hidden="1">
      <c r="A619" s="24">
        <f t="shared" si="128"/>
        <v>3</v>
      </c>
      <c r="B619" s="176" t="str">
        <f>IF(AND(MONTH(E619)='IN-NX'!$J$5,'IN-NX'!$D$7=(D619&amp;"/"&amp;C619)),"x","")</f>
        <v/>
      </c>
      <c r="C619" s="173" t="s">
        <v>224</v>
      </c>
      <c r="D619" s="173" t="s">
        <v>219</v>
      </c>
      <c r="E619" s="70">
        <v>42082</v>
      </c>
      <c r="F619" s="62" t="s">
        <v>125</v>
      </c>
      <c r="G619" s="19" t="s">
        <v>147</v>
      </c>
      <c r="H619" s="200" t="s">
        <v>145</v>
      </c>
      <c r="I619" s="57" t="s">
        <v>124</v>
      </c>
      <c r="J619" s="15">
        <v>290</v>
      </c>
      <c r="K619" s="15">
        <v>71100</v>
      </c>
      <c r="L619" s="15">
        <f t="shared" si="126"/>
        <v>20619000</v>
      </c>
      <c r="M619" s="15"/>
      <c r="N619" s="15">
        <f t="shared" si="127"/>
        <v>0</v>
      </c>
      <c r="O619" s="15" t="str">
        <f>IF(AND(A619='BANG KE NL'!$M$11,TH!C619="NL",LEFT(D619,1)="N"),"x","")</f>
        <v/>
      </c>
    </row>
    <row r="620" spans="1:15" hidden="1">
      <c r="A620" s="24">
        <f t="shared" si="128"/>
        <v>3</v>
      </c>
      <c r="B620" s="176" t="str">
        <f>IF(AND(MONTH(E620)='IN-NX'!$J$5,'IN-NX'!$D$7=(D620&amp;"/"&amp;C620)),"x","")</f>
        <v/>
      </c>
      <c r="C620" s="173" t="s">
        <v>224</v>
      </c>
      <c r="D620" s="173" t="s">
        <v>219</v>
      </c>
      <c r="E620" s="70">
        <v>42082</v>
      </c>
      <c r="F620" s="62" t="s">
        <v>105</v>
      </c>
      <c r="G620" s="19" t="s">
        <v>147</v>
      </c>
      <c r="H620" s="200" t="s">
        <v>145</v>
      </c>
      <c r="I620" s="57" t="s">
        <v>124</v>
      </c>
      <c r="J620" s="15">
        <v>390</v>
      </c>
      <c r="K620" s="15">
        <v>7800</v>
      </c>
      <c r="L620" s="15">
        <f t="shared" si="126"/>
        <v>3042000</v>
      </c>
      <c r="M620" s="15"/>
      <c r="N620" s="15">
        <f t="shared" si="127"/>
        <v>0</v>
      </c>
      <c r="O620" s="15" t="str">
        <f>IF(AND(A620='BANG KE NL'!$M$11,TH!C620="NL",LEFT(D620,1)="N"),"x","")</f>
        <v/>
      </c>
    </row>
    <row r="621" spans="1:15" hidden="1">
      <c r="A621" s="24">
        <f t="shared" si="128"/>
        <v>3</v>
      </c>
      <c r="B621" s="176" t="str">
        <f>IF(AND(MONTH(E621)='IN-NX'!$J$5,'IN-NX'!$D$7=(D621&amp;"/"&amp;C621)),"x","")</f>
        <v/>
      </c>
      <c r="C621" s="173" t="s">
        <v>224</v>
      </c>
      <c r="D621" s="173" t="s">
        <v>232</v>
      </c>
      <c r="E621" s="70">
        <v>42083</v>
      </c>
      <c r="F621" s="62" t="s">
        <v>130</v>
      </c>
      <c r="G621" s="19" t="s">
        <v>148</v>
      </c>
      <c r="H621" s="200" t="s">
        <v>145</v>
      </c>
      <c r="I621" s="57" t="s">
        <v>124</v>
      </c>
      <c r="J621" s="15">
        <v>5700</v>
      </c>
      <c r="K621" s="15">
        <v>4423</v>
      </c>
      <c r="L621" s="15">
        <f t="shared" si="126"/>
        <v>25211100</v>
      </c>
      <c r="M621" s="15"/>
      <c r="N621" s="15">
        <f t="shared" si="127"/>
        <v>0</v>
      </c>
      <c r="O621" s="15" t="str">
        <f>IF(AND(A621='BANG KE NL'!$M$11,TH!C621="NL",LEFT(D621,1)="N"),"x","")</f>
        <v/>
      </c>
    </row>
    <row r="622" spans="1:15" hidden="1">
      <c r="A622" s="24">
        <f t="shared" si="128"/>
        <v>3</v>
      </c>
      <c r="B622" s="176" t="str">
        <f>IF(AND(MONTH(E622)='IN-NX'!$J$5,'IN-NX'!$D$7=(D622&amp;"/"&amp;C622)),"x","")</f>
        <v/>
      </c>
      <c r="C622" s="173" t="s">
        <v>224</v>
      </c>
      <c r="D622" s="173" t="s">
        <v>232</v>
      </c>
      <c r="E622" s="70">
        <v>42083</v>
      </c>
      <c r="F622" s="62" t="s">
        <v>129</v>
      </c>
      <c r="G622" s="19" t="s">
        <v>148</v>
      </c>
      <c r="H622" s="200" t="s">
        <v>145</v>
      </c>
      <c r="I622" s="57" t="s">
        <v>124</v>
      </c>
      <c r="J622" s="15">
        <v>20000</v>
      </c>
      <c r="K622" s="15">
        <v>917</v>
      </c>
      <c r="L622" s="15">
        <f t="shared" ref="L622:L649" si="129">ROUND(J622*K622,0)</f>
        <v>18340000</v>
      </c>
      <c r="M622" s="15"/>
      <c r="N622" s="15">
        <f t="shared" ref="N622:N649" si="130">ROUND(J622*M622,0)</f>
        <v>0</v>
      </c>
      <c r="O622" s="15" t="str">
        <f>IF(AND(A622='BANG KE NL'!$M$11,TH!C622="NL",LEFT(D622,1)="N"),"x","")</f>
        <v/>
      </c>
    </row>
    <row r="623" spans="1:15" hidden="1">
      <c r="A623" s="24">
        <f t="shared" si="128"/>
        <v>3</v>
      </c>
      <c r="B623" s="176" t="str">
        <f>IF(AND(MONTH(E623)='IN-NX'!$J$5,'IN-NX'!$D$7=(D623&amp;"/"&amp;C623)),"x","")</f>
        <v/>
      </c>
      <c r="C623" s="173" t="s">
        <v>224</v>
      </c>
      <c r="D623" s="173" t="s">
        <v>234</v>
      </c>
      <c r="E623" s="70">
        <v>42088</v>
      </c>
      <c r="F623" s="62" t="s">
        <v>47</v>
      </c>
      <c r="G623" s="19" t="s">
        <v>151</v>
      </c>
      <c r="H623" s="200" t="s">
        <v>145</v>
      </c>
      <c r="I623" s="57" t="s">
        <v>124</v>
      </c>
      <c r="J623" s="15">
        <v>16800</v>
      </c>
      <c r="K623" s="15">
        <v>160</v>
      </c>
      <c r="L623" s="15">
        <f t="shared" si="129"/>
        <v>2688000</v>
      </c>
      <c r="M623" s="15"/>
      <c r="N623" s="15">
        <f t="shared" si="130"/>
        <v>0</v>
      </c>
      <c r="O623" s="15" t="str">
        <f>IF(AND(A623='BANG KE NL'!$M$11,TH!C623="NL",LEFT(D623,1)="N"),"x","")</f>
        <v/>
      </c>
    </row>
    <row r="624" spans="1:15" hidden="1">
      <c r="A624" s="24">
        <f t="shared" si="128"/>
        <v>3</v>
      </c>
      <c r="B624" s="176" t="str">
        <f>IF(AND(MONTH(E624)='IN-NX'!$J$5,'IN-NX'!$D$7=(D624&amp;"/"&amp;C624)),"x","")</f>
        <v/>
      </c>
      <c r="C624" s="173" t="s">
        <v>224</v>
      </c>
      <c r="D624" s="173" t="s">
        <v>220</v>
      </c>
      <c r="E624" s="70">
        <v>42064</v>
      </c>
      <c r="F624" s="62" t="s">
        <v>39</v>
      </c>
      <c r="G624" s="19" t="s">
        <v>229</v>
      </c>
      <c r="H624" s="200" t="s">
        <v>97</v>
      </c>
      <c r="I624" s="57" t="s">
        <v>145</v>
      </c>
      <c r="J624" s="15">
        <v>31000</v>
      </c>
      <c r="K624" s="15"/>
      <c r="L624" s="15">
        <f t="shared" si="129"/>
        <v>0</v>
      </c>
      <c r="M624" s="15">
        <v>200</v>
      </c>
      <c r="N624" s="15">
        <f t="shared" si="130"/>
        <v>6200000</v>
      </c>
      <c r="O624" s="15" t="str">
        <f>IF(AND(A624='BANG KE NL'!$M$11,TH!C624="NL",LEFT(D624,1)="N"),"x","")</f>
        <v/>
      </c>
    </row>
    <row r="625" spans="1:15" hidden="1">
      <c r="A625" s="24">
        <f t="shared" si="128"/>
        <v>3</v>
      </c>
      <c r="B625" s="176" t="str">
        <f>IF(AND(MONTH(E625)='IN-NX'!$J$5,'IN-NX'!$D$7=(D625&amp;"/"&amp;C625)),"x","")</f>
        <v/>
      </c>
      <c r="C625" s="173" t="s">
        <v>224</v>
      </c>
      <c r="D625" s="173" t="s">
        <v>220</v>
      </c>
      <c r="E625" s="70">
        <v>42064</v>
      </c>
      <c r="F625" s="62" t="s">
        <v>49</v>
      </c>
      <c r="G625" s="19" t="s">
        <v>229</v>
      </c>
      <c r="H625" s="200" t="s">
        <v>97</v>
      </c>
      <c r="I625" s="57" t="s">
        <v>145</v>
      </c>
      <c r="J625" s="15">
        <v>46741.2</v>
      </c>
      <c r="K625" s="15"/>
      <c r="L625" s="15">
        <f t="shared" si="129"/>
        <v>0</v>
      </c>
      <c r="M625" s="15">
        <v>250</v>
      </c>
      <c r="N625" s="15">
        <f t="shared" si="130"/>
        <v>11685300</v>
      </c>
      <c r="O625" s="15" t="str">
        <f>IF(AND(A625='BANG KE NL'!$M$11,TH!C625="NL",LEFT(D625,1)="N"),"x","")</f>
        <v/>
      </c>
    </row>
    <row r="626" spans="1:15" hidden="1">
      <c r="A626" s="24">
        <f t="shared" si="128"/>
        <v>3</v>
      </c>
      <c r="B626" s="176" t="str">
        <f>IF(AND(MONTH(E626)='IN-NX'!$J$5,'IN-NX'!$D$7=(D626&amp;"/"&amp;C626)),"x","")</f>
        <v/>
      </c>
      <c r="C626" s="173" t="s">
        <v>224</v>
      </c>
      <c r="D626" s="173" t="s">
        <v>220</v>
      </c>
      <c r="E626" s="70">
        <v>42064</v>
      </c>
      <c r="F626" s="62" t="s">
        <v>40</v>
      </c>
      <c r="G626" s="19" t="s">
        <v>229</v>
      </c>
      <c r="H626" s="200" t="s">
        <v>97</v>
      </c>
      <c r="I626" s="57" t="s">
        <v>145</v>
      </c>
      <c r="J626" s="15">
        <v>11666.666999999999</v>
      </c>
      <c r="K626" s="15"/>
      <c r="L626" s="15">
        <f t="shared" si="129"/>
        <v>0</v>
      </c>
      <c r="M626" s="15">
        <v>150</v>
      </c>
      <c r="N626" s="15">
        <f t="shared" si="130"/>
        <v>1750000</v>
      </c>
      <c r="O626" s="15" t="str">
        <f>IF(AND(A626='BANG KE NL'!$M$11,TH!C626="NL",LEFT(D626,1)="N"),"x","")</f>
        <v/>
      </c>
    </row>
    <row r="627" spans="1:15" hidden="1">
      <c r="A627" s="24">
        <f t="shared" si="128"/>
        <v>3</v>
      </c>
      <c r="B627" s="176" t="str">
        <f>IF(AND(MONTH(E627)='IN-NX'!$J$5,'IN-NX'!$D$7=(D627&amp;"/"&amp;C627)),"x","")</f>
        <v/>
      </c>
      <c r="C627" s="173" t="s">
        <v>224</v>
      </c>
      <c r="D627" s="173" t="s">
        <v>220</v>
      </c>
      <c r="E627" s="70">
        <v>42064</v>
      </c>
      <c r="F627" s="62" t="s">
        <v>66</v>
      </c>
      <c r="G627" s="19" t="s">
        <v>229</v>
      </c>
      <c r="H627" s="200" t="s">
        <v>97</v>
      </c>
      <c r="I627" s="57" t="s">
        <v>145</v>
      </c>
      <c r="J627" s="15">
        <v>23616.16</v>
      </c>
      <c r="K627" s="15"/>
      <c r="L627" s="15">
        <f t="shared" si="129"/>
        <v>0</v>
      </c>
      <c r="M627" s="15">
        <v>150</v>
      </c>
      <c r="N627" s="15">
        <f t="shared" si="130"/>
        <v>3542424</v>
      </c>
      <c r="O627" s="15" t="str">
        <f>IF(AND(A627='BANG KE NL'!$M$11,TH!C627="NL",LEFT(D627,1)="N"),"x","")</f>
        <v/>
      </c>
    </row>
    <row r="628" spans="1:15" hidden="1">
      <c r="A628" s="24">
        <f t="shared" si="128"/>
        <v>3</v>
      </c>
      <c r="B628" s="176" t="str">
        <f>IF(AND(MONTH(E628)='IN-NX'!$J$5,'IN-NX'!$D$7=(D628&amp;"/"&amp;C628)),"x","")</f>
        <v/>
      </c>
      <c r="C628" s="173" t="s">
        <v>224</v>
      </c>
      <c r="D628" s="173" t="s">
        <v>221</v>
      </c>
      <c r="E628" s="70">
        <v>42065</v>
      </c>
      <c r="F628" s="62" t="s">
        <v>41</v>
      </c>
      <c r="G628" s="19" t="s">
        <v>229</v>
      </c>
      <c r="H628" s="200" t="s">
        <v>97</v>
      </c>
      <c r="I628" s="57" t="s">
        <v>145</v>
      </c>
      <c r="J628" s="15">
        <v>3500</v>
      </c>
      <c r="K628" s="15"/>
      <c r="L628" s="15">
        <f t="shared" si="129"/>
        <v>0</v>
      </c>
      <c r="M628" s="15">
        <v>250</v>
      </c>
      <c r="N628" s="15">
        <f t="shared" si="130"/>
        <v>875000</v>
      </c>
      <c r="O628" s="15" t="str">
        <f>IF(AND(A628='BANG KE NL'!$M$11,TH!C628="NL",LEFT(D628,1)="N"),"x","")</f>
        <v/>
      </c>
    </row>
    <row r="629" spans="1:15" hidden="1">
      <c r="A629" s="24">
        <f t="shared" si="128"/>
        <v>3</v>
      </c>
      <c r="B629" s="176" t="str">
        <f>IF(AND(MONTH(E629)='IN-NX'!$J$5,'IN-NX'!$D$7=(D629&amp;"/"&amp;C629)),"x","")</f>
        <v/>
      </c>
      <c r="C629" s="173" t="s">
        <v>224</v>
      </c>
      <c r="D629" s="173" t="s">
        <v>221</v>
      </c>
      <c r="E629" s="70">
        <v>42065</v>
      </c>
      <c r="F629" s="62" t="s">
        <v>108</v>
      </c>
      <c r="G629" s="19" t="s">
        <v>229</v>
      </c>
      <c r="H629" s="200" t="s">
        <v>97</v>
      </c>
      <c r="I629" s="57" t="s">
        <v>145</v>
      </c>
      <c r="J629" s="15">
        <v>3000</v>
      </c>
      <c r="K629" s="15"/>
      <c r="L629" s="15">
        <f t="shared" si="129"/>
        <v>0</v>
      </c>
      <c r="M629" s="15">
        <v>450</v>
      </c>
      <c r="N629" s="15">
        <f t="shared" si="130"/>
        <v>1350000</v>
      </c>
      <c r="O629" s="15" t="str">
        <f>IF(AND(A629='BANG KE NL'!$M$11,TH!C629="NL",LEFT(D629,1)="N"),"x","")</f>
        <v/>
      </c>
    </row>
    <row r="630" spans="1:15" hidden="1">
      <c r="A630" s="24">
        <f t="shared" si="128"/>
        <v>3</v>
      </c>
      <c r="B630" s="176" t="str">
        <f>IF(AND(MONTH(E630)='IN-NX'!$J$5,'IN-NX'!$D$7=(D630&amp;"/"&amp;C630)),"x","")</f>
        <v/>
      </c>
      <c r="C630" s="173" t="s">
        <v>224</v>
      </c>
      <c r="D630" s="173" t="s">
        <v>221</v>
      </c>
      <c r="E630" s="70">
        <v>42065</v>
      </c>
      <c r="F630" s="62" t="s">
        <v>109</v>
      </c>
      <c r="G630" s="19" t="s">
        <v>229</v>
      </c>
      <c r="H630" s="200" t="s">
        <v>97</v>
      </c>
      <c r="I630" s="57" t="s">
        <v>145</v>
      </c>
      <c r="J630" s="15">
        <v>5500</v>
      </c>
      <c r="K630" s="15"/>
      <c r="L630" s="15">
        <f t="shared" si="129"/>
        <v>0</v>
      </c>
      <c r="M630" s="15">
        <v>150</v>
      </c>
      <c r="N630" s="15">
        <f t="shared" si="130"/>
        <v>825000</v>
      </c>
      <c r="O630" s="15" t="str">
        <f>IF(AND(A630='BANG KE NL'!$M$11,TH!C630="NL",LEFT(D630,1)="N"),"x","")</f>
        <v/>
      </c>
    </row>
    <row r="631" spans="1:15" hidden="1">
      <c r="A631" s="24">
        <f t="shared" si="128"/>
        <v>3</v>
      </c>
      <c r="B631" s="176" t="str">
        <f>IF(AND(MONTH(E631)='IN-NX'!$J$5,'IN-NX'!$D$7=(D631&amp;"/"&amp;C631)),"x","")</f>
        <v/>
      </c>
      <c r="C631" s="173" t="s">
        <v>224</v>
      </c>
      <c r="D631" s="173" t="s">
        <v>221</v>
      </c>
      <c r="E631" s="70">
        <v>42065</v>
      </c>
      <c r="F631" s="62" t="s">
        <v>110</v>
      </c>
      <c r="G631" s="19" t="s">
        <v>229</v>
      </c>
      <c r="H631" s="200" t="s">
        <v>97</v>
      </c>
      <c r="I631" s="57" t="s">
        <v>145</v>
      </c>
      <c r="J631" s="15">
        <v>8465.3438901077934</v>
      </c>
      <c r="K631" s="15"/>
      <c r="L631" s="15">
        <f t="shared" si="129"/>
        <v>0</v>
      </c>
      <c r="M631" s="15">
        <v>500</v>
      </c>
      <c r="N631" s="15">
        <f t="shared" si="130"/>
        <v>4232672</v>
      </c>
      <c r="O631" s="15" t="str">
        <f>IF(AND(A631='BANG KE NL'!$M$11,TH!C631="NL",LEFT(D631,1)="N"),"x","")</f>
        <v/>
      </c>
    </row>
    <row r="632" spans="1:15" hidden="1">
      <c r="A632" s="24">
        <f t="shared" si="128"/>
        <v>3</v>
      </c>
      <c r="B632" s="176" t="str">
        <f>IF(AND(MONTH(E632)='IN-NX'!$J$5,'IN-NX'!$D$7=(D632&amp;"/"&amp;C632)),"x","")</f>
        <v/>
      </c>
      <c r="C632" s="173" t="s">
        <v>224</v>
      </c>
      <c r="D632" s="173" t="s">
        <v>222</v>
      </c>
      <c r="E632" s="70">
        <v>42073</v>
      </c>
      <c r="F632" s="62" t="s">
        <v>38</v>
      </c>
      <c r="G632" s="19" t="s">
        <v>229</v>
      </c>
      <c r="H632" s="200" t="s">
        <v>97</v>
      </c>
      <c r="I632" s="57" t="s">
        <v>145</v>
      </c>
      <c r="J632" s="15">
        <v>8700</v>
      </c>
      <c r="K632" s="15"/>
      <c r="L632" s="15">
        <f t="shared" si="129"/>
        <v>0</v>
      </c>
      <c r="M632" s="15">
        <v>85</v>
      </c>
      <c r="N632" s="15">
        <f t="shared" si="130"/>
        <v>739500</v>
      </c>
      <c r="O632" s="15" t="str">
        <f>IF(AND(A632='BANG KE NL'!$M$11,TH!C632="NL",LEFT(D632,1)="N"),"x","")</f>
        <v/>
      </c>
    </row>
    <row r="633" spans="1:15" hidden="1">
      <c r="A633" s="24">
        <f t="shared" si="128"/>
        <v>3</v>
      </c>
      <c r="B633" s="176" t="str">
        <f>IF(AND(MONTH(E633)='IN-NX'!$J$5,'IN-NX'!$D$7=(D633&amp;"/"&amp;C633)),"x","")</f>
        <v/>
      </c>
      <c r="C633" s="173" t="s">
        <v>224</v>
      </c>
      <c r="D633" s="173" t="s">
        <v>222</v>
      </c>
      <c r="E633" s="70">
        <v>42073</v>
      </c>
      <c r="F633" s="62" t="s">
        <v>59</v>
      </c>
      <c r="G633" s="19" t="s">
        <v>229</v>
      </c>
      <c r="H633" s="200" t="s">
        <v>97</v>
      </c>
      <c r="I633" s="57" t="s">
        <v>145</v>
      </c>
      <c r="J633" s="15">
        <v>19154</v>
      </c>
      <c r="K633" s="15"/>
      <c r="L633" s="15">
        <f t="shared" si="129"/>
        <v>0</v>
      </c>
      <c r="M633" s="15">
        <v>170</v>
      </c>
      <c r="N633" s="15">
        <f t="shared" si="130"/>
        <v>3256180</v>
      </c>
      <c r="O633" s="15" t="str">
        <f>IF(AND(A633='BANG KE NL'!$M$11,TH!C633="NL",LEFT(D633,1)="N"),"x","")</f>
        <v/>
      </c>
    </row>
    <row r="634" spans="1:15" hidden="1">
      <c r="A634" s="24">
        <f t="shared" si="128"/>
        <v>3</v>
      </c>
      <c r="B634" s="176" t="str">
        <f>IF(AND(MONTH(E634)='IN-NX'!$J$5,'IN-NX'!$D$7=(D634&amp;"/"&amp;C634)),"x","")</f>
        <v/>
      </c>
      <c r="C634" s="173" t="s">
        <v>224</v>
      </c>
      <c r="D634" s="173" t="s">
        <v>222</v>
      </c>
      <c r="E634" s="70">
        <v>42073</v>
      </c>
      <c r="F634" s="62" t="s">
        <v>58</v>
      </c>
      <c r="G634" s="19" t="s">
        <v>229</v>
      </c>
      <c r="H634" s="200" t="s">
        <v>97</v>
      </c>
      <c r="I634" s="57" t="s">
        <v>145</v>
      </c>
      <c r="J634" s="15">
        <v>34000</v>
      </c>
      <c r="K634" s="15"/>
      <c r="L634" s="15">
        <v>0</v>
      </c>
      <c r="M634" s="15">
        <v>250</v>
      </c>
      <c r="N634" s="15">
        <f t="shared" ref="N634" si="131">ROUND(J634*M634,0)</f>
        <v>8500000</v>
      </c>
      <c r="O634" s="15" t="str">
        <f>IF(AND(A634='BANG KE NL'!$M$11,TH!C634="NL",LEFT(D634,1)="N"),"x","")</f>
        <v/>
      </c>
    </row>
    <row r="635" spans="1:15" hidden="1">
      <c r="A635" s="24">
        <f t="shared" si="128"/>
        <v>3</v>
      </c>
      <c r="B635" s="176" t="str">
        <f>IF(AND(MONTH(E635)='IN-NX'!$J$5,'IN-NX'!$D$7=(D635&amp;"/"&amp;C635)),"x","")</f>
        <v/>
      </c>
      <c r="C635" s="173" t="s">
        <v>224</v>
      </c>
      <c r="D635" s="173" t="s">
        <v>222</v>
      </c>
      <c r="E635" s="70">
        <v>42073</v>
      </c>
      <c r="F635" s="62" t="s">
        <v>54</v>
      </c>
      <c r="G635" s="19" t="s">
        <v>229</v>
      </c>
      <c r="H635" s="200" t="s">
        <v>97</v>
      </c>
      <c r="I635" s="57" t="s">
        <v>145</v>
      </c>
      <c r="J635" s="15">
        <v>323.05080427144196</v>
      </c>
      <c r="K635" s="15"/>
      <c r="L635" s="15">
        <f t="shared" si="129"/>
        <v>0</v>
      </c>
      <c r="M635" s="15">
        <v>600</v>
      </c>
      <c r="N635" s="15">
        <f t="shared" si="130"/>
        <v>193830</v>
      </c>
      <c r="O635" s="15" t="str">
        <f>IF(AND(A635='BANG KE NL'!$M$11,TH!C635="NL",LEFT(D635,1)="N"),"x","")</f>
        <v/>
      </c>
    </row>
    <row r="636" spans="1:15" hidden="1">
      <c r="A636" s="24">
        <f t="shared" si="128"/>
        <v>3</v>
      </c>
      <c r="B636" s="176" t="str">
        <f>IF(AND(MONTH(E636)='IN-NX'!$J$5,'IN-NX'!$D$7=(D636&amp;"/"&amp;C636)),"x","")</f>
        <v/>
      </c>
      <c r="C636" s="173" t="s">
        <v>224</v>
      </c>
      <c r="D636" s="173" t="s">
        <v>222</v>
      </c>
      <c r="E636" s="70">
        <v>42073</v>
      </c>
      <c r="F636" s="62" t="s">
        <v>107</v>
      </c>
      <c r="G636" s="19" t="s">
        <v>229</v>
      </c>
      <c r="H636" s="200" t="s">
        <v>97</v>
      </c>
      <c r="I636" s="57" t="s">
        <v>145</v>
      </c>
      <c r="J636" s="15">
        <v>15000</v>
      </c>
      <c r="K636" s="15"/>
      <c r="L636" s="15">
        <f t="shared" si="129"/>
        <v>0</v>
      </c>
      <c r="M636" s="15">
        <v>150</v>
      </c>
      <c r="N636" s="15">
        <f t="shared" si="130"/>
        <v>2250000</v>
      </c>
      <c r="O636" s="15" t="str">
        <f>IF(AND(A636='BANG KE NL'!$M$11,TH!C636="NL",LEFT(D636,1)="N"),"x","")</f>
        <v/>
      </c>
    </row>
    <row r="637" spans="1:15" hidden="1">
      <c r="A637" s="24">
        <f t="shared" si="128"/>
        <v>3</v>
      </c>
      <c r="B637" s="176" t="str">
        <f>IF(AND(MONTH(E637)='IN-NX'!$J$5,'IN-NX'!$D$7=(D637&amp;"/"&amp;C637)),"x","")</f>
        <v/>
      </c>
      <c r="C637" s="173" t="s">
        <v>224</v>
      </c>
      <c r="D637" s="173" t="s">
        <v>223</v>
      </c>
      <c r="E637" s="70">
        <v>42078</v>
      </c>
      <c r="F637" s="62" t="s">
        <v>62</v>
      </c>
      <c r="G637" s="19" t="s">
        <v>229</v>
      </c>
      <c r="H637" s="200" t="s">
        <v>97</v>
      </c>
      <c r="I637" s="57" t="s">
        <v>145</v>
      </c>
      <c r="J637" s="15">
        <v>10100</v>
      </c>
      <c r="K637" s="15"/>
      <c r="L637" s="15">
        <f t="shared" si="129"/>
        <v>0</v>
      </c>
      <c r="M637" s="15">
        <v>675</v>
      </c>
      <c r="N637" s="15">
        <f t="shared" si="130"/>
        <v>6817500</v>
      </c>
      <c r="O637" s="15" t="str">
        <f>IF(AND(A637='BANG KE NL'!$M$11,TH!C637="NL",LEFT(D637,1)="N"),"x","")</f>
        <v/>
      </c>
    </row>
    <row r="638" spans="1:15" hidden="1">
      <c r="A638" s="24">
        <f t="shared" si="128"/>
        <v>3</v>
      </c>
      <c r="B638" s="176" t="str">
        <f>IF(AND(MONTH(E638)='IN-NX'!$J$5,'IN-NX'!$D$7=(D638&amp;"/"&amp;C638)),"x","")</f>
        <v/>
      </c>
      <c r="C638" s="173" t="s">
        <v>224</v>
      </c>
      <c r="D638" s="173" t="s">
        <v>223</v>
      </c>
      <c r="E638" s="70">
        <v>42078</v>
      </c>
      <c r="F638" s="62" t="s">
        <v>106</v>
      </c>
      <c r="G638" s="19" t="s">
        <v>229</v>
      </c>
      <c r="H638" s="200" t="s">
        <v>97</v>
      </c>
      <c r="I638" s="57" t="s">
        <v>145</v>
      </c>
      <c r="J638" s="15">
        <v>690</v>
      </c>
      <c r="K638" s="15"/>
      <c r="L638" s="15">
        <f t="shared" si="129"/>
        <v>0</v>
      </c>
      <c r="M638" s="15">
        <v>30000</v>
      </c>
      <c r="N638" s="15">
        <f t="shared" si="130"/>
        <v>20700000</v>
      </c>
      <c r="O638" s="15" t="str">
        <f>IF(AND(A638='BANG KE NL'!$M$11,TH!C638="NL",LEFT(D638,1)="N"),"x","")</f>
        <v/>
      </c>
    </row>
    <row r="639" spans="1:15" hidden="1">
      <c r="A639" s="24">
        <f t="shared" si="128"/>
        <v>3</v>
      </c>
      <c r="B639" s="176" t="str">
        <f>IF(AND(MONTH(E639)='IN-NX'!$J$5,'IN-NX'!$D$7=(D639&amp;"/"&amp;C639)),"x","")</f>
        <v/>
      </c>
      <c r="C639" s="173" t="s">
        <v>224</v>
      </c>
      <c r="D639" s="173" t="s">
        <v>223</v>
      </c>
      <c r="E639" s="70">
        <v>42082</v>
      </c>
      <c r="F639" s="62" t="s">
        <v>46</v>
      </c>
      <c r="G639" s="19" t="s">
        <v>229</v>
      </c>
      <c r="H639" s="200" t="s">
        <v>97</v>
      </c>
      <c r="I639" s="57" t="s">
        <v>145</v>
      </c>
      <c r="J639" s="15">
        <v>2500</v>
      </c>
      <c r="K639" s="15"/>
      <c r="L639" s="15">
        <f t="shared" si="129"/>
        <v>0</v>
      </c>
      <c r="M639" s="15">
        <v>1500</v>
      </c>
      <c r="N639" s="15">
        <f t="shared" si="130"/>
        <v>3750000</v>
      </c>
      <c r="O639" s="15" t="str">
        <f>IF(AND(A639='BANG KE NL'!$M$11,TH!C639="NL",LEFT(D639,1)="N"),"x","")</f>
        <v/>
      </c>
    </row>
    <row r="640" spans="1:15" hidden="1">
      <c r="A640" s="24">
        <f t="shared" si="128"/>
        <v>3</v>
      </c>
      <c r="B640" s="176" t="str">
        <f>IF(AND(MONTH(E640)='IN-NX'!$J$5,'IN-NX'!$D$7=(D640&amp;"/"&amp;C640)),"x","")</f>
        <v/>
      </c>
      <c r="C640" s="173" t="s">
        <v>224</v>
      </c>
      <c r="D640" s="173" t="s">
        <v>223</v>
      </c>
      <c r="E640" s="70">
        <v>42078</v>
      </c>
      <c r="F640" s="62" t="s">
        <v>105</v>
      </c>
      <c r="G640" s="19" t="s">
        <v>229</v>
      </c>
      <c r="H640" s="200" t="s">
        <v>97</v>
      </c>
      <c r="I640" s="57" t="s">
        <v>145</v>
      </c>
      <c r="J640" s="15">
        <v>155</v>
      </c>
      <c r="K640" s="15"/>
      <c r="L640" s="15">
        <f t="shared" si="129"/>
        <v>0</v>
      </c>
      <c r="M640" s="15">
        <v>12250</v>
      </c>
      <c r="N640" s="15">
        <f t="shared" si="130"/>
        <v>1898750</v>
      </c>
      <c r="O640" s="15" t="str">
        <f>IF(AND(A640='BANG KE NL'!$M$11,TH!C640="NL",LEFT(D640,1)="N"),"x","")</f>
        <v/>
      </c>
    </row>
    <row r="641" spans="1:15" hidden="1">
      <c r="A641" s="24">
        <f t="shared" si="128"/>
        <v>3</v>
      </c>
      <c r="B641" s="176" t="str">
        <f>IF(AND(MONTH(E641)='IN-NX'!$J$5,'IN-NX'!$D$7=(D641&amp;"/"&amp;C641)),"x","")</f>
        <v/>
      </c>
      <c r="C641" s="173" t="s">
        <v>224</v>
      </c>
      <c r="D641" s="173" t="s">
        <v>230</v>
      </c>
      <c r="E641" s="70">
        <v>42078</v>
      </c>
      <c r="F641" s="62" t="s">
        <v>105</v>
      </c>
      <c r="G641" s="19" t="s">
        <v>229</v>
      </c>
      <c r="H641" s="200" t="s">
        <v>97</v>
      </c>
      <c r="I641" s="57" t="s">
        <v>145</v>
      </c>
      <c r="J641" s="15">
        <v>380</v>
      </c>
      <c r="K641" s="15"/>
      <c r="L641" s="15">
        <f t="shared" si="129"/>
        <v>0</v>
      </c>
      <c r="M641" s="15">
        <v>41000</v>
      </c>
      <c r="N641" s="15">
        <f t="shared" si="130"/>
        <v>15580000</v>
      </c>
      <c r="O641" s="15" t="str">
        <f>IF(AND(A641='BANG KE NL'!$M$11,TH!C641="NL",LEFT(D641,1)="N"),"x","")</f>
        <v/>
      </c>
    </row>
    <row r="642" spans="1:15" hidden="1">
      <c r="A642" s="24">
        <f t="shared" si="128"/>
        <v>3</v>
      </c>
      <c r="B642" s="176" t="str">
        <f>IF(AND(MONTH(E642)='IN-NX'!$J$5,'IN-NX'!$D$7=(D642&amp;"/"&amp;C642)),"x","")</f>
        <v/>
      </c>
      <c r="C642" s="173" t="s">
        <v>224</v>
      </c>
      <c r="D642" s="173" t="s">
        <v>230</v>
      </c>
      <c r="E642" s="70">
        <v>42082</v>
      </c>
      <c r="F642" s="62" t="s">
        <v>129</v>
      </c>
      <c r="G642" s="19" t="s">
        <v>229</v>
      </c>
      <c r="H642" s="200" t="s">
        <v>97</v>
      </c>
      <c r="I642" s="57" t="s">
        <v>145</v>
      </c>
      <c r="J642" s="15">
        <v>20000</v>
      </c>
      <c r="K642" s="15"/>
      <c r="L642" s="15">
        <f t="shared" si="129"/>
        <v>0</v>
      </c>
      <c r="M642" s="15">
        <v>917</v>
      </c>
      <c r="N642" s="15">
        <f t="shared" si="130"/>
        <v>18340000</v>
      </c>
      <c r="O642" s="15" t="str">
        <f>IF(AND(A642='BANG KE NL'!$M$11,TH!C642="NL",LEFT(D642,1)="N"),"x","")</f>
        <v/>
      </c>
    </row>
    <row r="643" spans="1:15" hidden="1">
      <c r="A643" s="24">
        <f t="shared" si="128"/>
        <v>3</v>
      </c>
      <c r="B643" s="176" t="str">
        <f>IF(AND(MONTH(E643)='IN-NX'!$J$5,'IN-NX'!$D$7=(D643&amp;"/"&amp;C643)),"x","")</f>
        <v/>
      </c>
      <c r="C643" s="173" t="s">
        <v>224</v>
      </c>
      <c r="D643" s="173" t="s">
        <v>230</v>
      </c>
      <c r="E643" s="70">
        <v>42078</v>
      </c>
      <c r="F643" s="62" t="s">
        <v>105</v>
      </c>
      <c r="G643" s="19" t="s">
        <v>229</v>
      </c>
      <c r="H643" s="200" t="s">
        <v>97</v>
      </c>
      <c r="I643" s="57" t="s">
        <v>145</v>
      </c>
      <c r="J643" s="15">
        <v>380</v>
      </c>
      <c r="K643" s="15"/>
      <c r="L643" s="15">
        <f t="shared" si="129"/>
        <v>0</v>
      </c>
      <c r="M643" s="15">
        <v>90500</v>
      </c>
      <c r="N643" s="15">
        <f t="shared" si="130"/>
        <v>34390000</v>
      </c>
      <c r="O643" s="15" t="str">
        <f>IF(AND(A643='BANG KE NL'!$M$11,TH!C643="NL",LEFT(D643,1)="N"),"x","")</f>
        <v/>
      </c>
    </row>
    <row r="644" spans="1:15" hidden="1">
      <c r="A644" s="24">
        <f t="shared" si="128"/>
        <v>3</v>
      </c>
      <c r="B644" s="176" t="str">
        <f>IF(AND(MONTH(E644)='IN-NX'!$J$5,'IN-NX'!$D$7=(D644&amp;"/"&amp;C644)),"x","")</f>
        <v/>
      </c>
      <c r="C644" s="173" t="s">
        <v>224</v>
      </c>
      <c r="D644" s="173" t="s">
        <v>268</v>
      </c>
      <c r="E644" s="70">
        <v>42082</v>
      </c>
      <c r="F644" s="62" t="s">
        <v>46</v>
      </c>
      <c r="G644" s="19" t="s">
        <v>229</v>
      </c>
      <c r="H644" s="200" t="s">
        <v>97</v>
      </c>
      <c r="I644" s="57" t="s">
        <v>145</v>
      </c>
      <c r="J644" s="15">
        <v>2500</v>
      </c>
      <c r="K644" s="15"/>
      <c r="L644" s="15">
        <f t="shared" si="129"/>
        <v>0</v>
      </c>
      <c r="M644" s="15">
        <v>1100</v>
      </c>
      <c r="N644" s="15">
        <f t="shared" si="130"/>
        <v>2750000</v>
      </c>
      <c r="O644" s="15" t="str">
        <f>IF(AND(A644='BANG KE NL'!$M$11,TH!C644="NL",LEFT(D644,1)="N"),"x","")</f>
        <v/>
      </c>
    </row>
    <row r="645" spans="1:15" s="276" customFormat="1" hidden="1">
      <c r="A645" s="24">
        <f t="shared" si="128"/>
        <v>3</v>
      </c>
      <c r="B645" s="176" t="str">
        <f>IF(AND(MONTH(E645)='IN-NX'!$J$5,'IN-NX'!$D$7=(D645&amp;"/"&amp;C645)),"x","")</f>
        <v/>
      </c>
      <c r="C645" s="173" t="s">
        <v>224</v>
      </c>
      <c r="D645" s="173" t="s">
        <v>268</v>
      </c>
      <c r="E645" s="70">
        <v>42078</v>
      </c>
      <c r="F645" s="62" t="s">
        <v>125</v>
      </c>
      <c r="G645" s="19" t="s">
        <v>229</v>
      </c>
      <c r="H645" s="200" t="s">
        <v>97</v>
      </c>
      <c r="I645" s="57" t="s">
        <v>145</v>
      </c>
      <c r="J645" s="15">
        <v>290</v>
      </c>
      <c r="K645" s="15"/>
      <c r="L645" s="15">
        <f t="shared" si="129"/>
        <v>0</v>
      </c>
      <c r="M645" s="15">
        <v>60000</v>
      </c>
      <c r="N645" s="15">
        <f t="shared" si="130"/>
        <v>17400000</v>
      </c>
      <c r="O645" s="15" t="str">
        <f>IF(AND(A645='BANG KE NL'!$M$11,TH!C645="NL",LEFT(D645,1)="N"),"x","")</f>
        <v/>
      </c>
    </row>
    <row r="646" spans="1:15" s="276" customFormat="1" hidden="1">
      <c r="A646" s="24">
        <f t="shared" si="128"/>
        <v>3</v>
      </c>
      <c r="B646" s="176" t="str">
        <f>IF(AND(MONTH(E646)='IN-NX'!$J$5,'IN-NX'!$D$7=(D646&amp;"/"&amp;C646)),"x","")</f>
        <v/>
      </c>
      <c r="C646" s="173" t="s">
        <v>224</v>
      </c>
      <c r="D646" s="173" t="s">
        <v>268</v>
      </c>
      <c r="E646" s="70">
        <v>42082</v>
      </c>
      <c r="F646" s="62" t="s">
        <v>46</v>
      </c>
      <c r="G646" s="19" t="s">
        <v>229</v>
      </c>
      <c r="H646" s="200" t="s">
        <v>97</v>
      </c>
      <c r="I646" s="57" t="s">
        <v>145</v>
      </c>
      <c r="J646" s="15">
        <v>2500</v>
      </c>
      <c r="K646" s="15"/>
      <c r="L646" s="15">
        <f t="shared" si="129"/>
        <v>0</v>
      </c>
      <c r="M646" s="15">
        <v>1200</v>
      </c>
      <c r="N646" s="15">
        <f t="shared" si="130"/>
        <v>3000000</v>
      </c>
      <c r="O646" s="15" t="str">
        <f>IF(AND(A646='BANG KE NL'!$M$11,TH!C646="NL",LEFT(D646,1)="N"),"x","")</f>
        <v/>
      </c>
    </row>
    <row r="647" spans="1:15" hidden="1">
      <c r="A647" s="24">
        <f t="shared" si="128"/>
        <v>3</v>
      </c>
      <c r="B647" s="176" t="str">
        <f>IF(AND(MONTH(E647)='IN-NX'!$J$5,'IN-NX'!$D$7=(D647&amp;"/"&amp;C647)),"x","")</f>
        <v/>
      </c>
      <c r="C647" s="173" t="s">
        <v>224</v>
      </c>
      <c r="D647" s="173" t="s">
        <v>268</v>
      </c>
      <c r="E647" s="70">
        <v>42078</v>
      </c>
      <c r="F647" s="62" t="s">
        <v>125</v>
      </c>
      <c r="G647" s="19" t="s">
        <v>229</v>
      </c>
      <c r="H647" s="200" t="s">
        <v>97</v>
      </c>
      <c r="I647" s="57" t="s">
        <v>145</v>
      </c>
      <c r="J647" s="15">
        <v>290</v>
      </c>
      <c r="K647" s="15"/>
      <c r="L647" s="15">
        <f t="shared" si="129"/>
        <v>0</v>
      </c>
      <c r="M647" s="15">
        <v>57000</v>
      </c>
      <c r="N647" s="15">
        <f t="shared" si="130"/>
        <v>16530000</v>
      </c>
      <c r="O647" s="15" t="str">
        <f>IF(AND(A647='BANG KE NL'!$M$11,TH!C647="NL",LEFT(D647,1)="N"),"x","")</f>
        <v/>
      </c>
    </row>
    <row r="648" spans="1:15" hidden="1">
      <c r="A648" s="24">
        <f t="shared" si="128"/>
        <v>3</v>
      </c>
      <c r="B648" s="176" t="str">
        <f>IF(AND(MONTH(E648)='IN-NX'!$J$5,'IN-NX'!$D$7=(D648&amp;"/"&amp;C648)),"x","")</f>
        <v/>
      </c>
      <c r="C648" s="173" t="s">
        <v>224</v>
      </c>
      <c r="D648" s="173" t="s">
        <v>268</v>
      </c>
      <c r="E648" s="70">
        <v>42082</v>
      </c>
      <c r="F648" s="62" t="s">
        <v>46</v>
      </c>
      <c r="G648" s="19" t="s">
        <v>229</v>
      </c>
      <c r="H648" s="200" t="s">
        <v>97</v>
      </c>
      <c r="I648" s="57" t="s">
        <v>145</v>
      </c>
      <c r="J648" s="15">
        <v>2500</v>
      </c>
      <c r="K648" s="15"/>
      <c r="L648" s="15">
        <f t="shared" si="129"/>
        <v>0</v>
      </c>
      <c r="M648" s="15">
        <v>1150</v>
      </c>
      <c r="N648" s="15">
        <f t="shared" si="130"/>
        <v>2875000</v>
      </c>
      <c r="O648" s="15" t="str">
        <f>IF(AND(A648='BANG KE NL'!$M$11,TH!C648="NL",LEFT(D648,1)="N"),"x","")</f>
        <v/>
      </c>
    </row>
    <row r="649" spans="1:15" hidden="1">
      <c r="A649" s="24">
        <f t="shared" si="128"/>
        <v>3</v>
      </c>
      <c r="B649" s="176" t="str">
        <f>IF(AND(MONTH(E649)='IN-NX'!$J$5,'IN-NX'!$D$7=(D649&amp;"/"&amp;C649)),"x","")</f>
        <v/>
      </c>
      <c r="C649" s="173" t="s">
        <v>224</v>
      </c>
      <c r="D649" s="173" t="s">
        <v>269</v>
      </c>
      <c r="E649" s="70">
        <v>42082</v>
      </c>
      <c r="F649" s="62" t="s">
        <v>61</v>
      </c>
      <c r="G649" s="19" t="s">
        <v>229</v>
      </c>
      <c r="H649" s="200" t="s">
        <v>97</v>
      </c>
      <c r="I649" s="57" t="s">
        <v>145</v>
      </c>
      <c r="J649" s="15">
        <v>11363.636363636364</v>
      </c>
      <c r="K649" s="15"/>
      <c r="L649" s="15">
        <f t="shared" si="129"/>
        <v>0</v>
      </c>
      <c r="M649" s="15">
        <v>770</v>
      </c>
      <c r="N649" s="15">
        <f t="shared" si="130"/>
        <v>8750000</v>
      </c>
      <c r="O649" s="15" t="str">
        <f>IF(AND(A649='BANG KE NL'!$M$11,TH!C649="NL",LEFT(D649,1)="N"),"x","")</f>
        <v/>
      </c>
    </row>
    <row r="650" spans="1:15" s="276" customFormat="1" hidden="1">
      <c r="A650" s="24">
        <f t="shared" si="128"/>
        <v>4</v>
      </c>
      <c r="B650" s="176" t="str">
        <f>IF(AND(MONTH(E650)='IN-NX'!$J$5,'IN-NX'!$D$7=(D650&amp;"/"&amp;C650)),"x","")</f>
        <v/>
      </c>
      <c r="C650" s="173" t="s">
        <v>224</v>
      </c>
      <c r="D650" s="173" t="s">
        <v>214</v>
      </c>
      <c r="E650" s="70">
        <v>42095</v>
      </c>
      <c r="F650" s="62" t="s">
        <v>123</v>
      </c>
      <c r="G650" s="19" t="s">
        <v>152</v>
      </c>
      <c r="H650" s="200" t="s">
        <v>145</v>
      </c>
      <c r="I650" s="57" t="s">
        <v>124</v>
      </c>
      <c r="J650" s="15">
        <v>35000</v>
      </c>
      <c r="K650" s="15">
        <v>50</v>
      </c>
      <c r="L650" s="15">
        <f t="shared" ref="L650:L670" si="132">ROUND(J650*K650,0)</f>
        <v>1750000</v>
      </c>
      <c r="M650" s="15"/>
      <c r="N650" s="15">
        <f t="shared" ref="N650:N670" si="133">ROUND(J650*M650,0)</f>
        <v>0</v>
      </c>
      <c r="O650" s="15" t="str">
        <f>IF(AND(A650='BANG KE NL'!$M$11,TH!C650="NL",LEFT(D650,1)="N"),"x","")</f>
        <v/>
      </c>
    </row>
    <row r="651" spans="1:15" s="276" customFormat="1" hidden="1">
      <c r="A651" s="24">
        <f t="shared" si="128"/>
        <v>4</v>
      </c>
      <c r="B651" s="176" t="str">
        <f>IF(AND(MONTH(E651)='IN-NX'!$J$5,'IN-NX'!$D$7=(D651&amp;"/"&amp;C651)),"x","")</f>
        <v/>
      </c>
      <c r="C651" s="173" t="s">
        <v>224</v>
      </c>
      <c r="D651" s="173" t="s">
        <v>215</v>
      </c>
      <c r="E651" s="70">
        <v>42112</v>
      </c>
      <c r="F651" s="62" t="s">
        <v>47</v>
      </c>
      <c r="G651" s="19" t="s">
        <v>151</v>
      </c>
      <c r="H651" s="200" t="s">
        <v>145</v>
      </c>
      <c r="I651" s="57" t="s">
        <v>124</v>
      </c>
      <c r="J651" s="15">
        <v>14400</v>
      </c>
      <c r="K651" s="15">
        <v>1550</v>
      </c>
      <c r="L651" s="15">
        <f t="shared" si="132"/>
        <v>22320000</v>
      </c>
      <c r="M651" s="15"/>
      <c r="N651" s="15">
        <f t="shared" si="133"/>
        <v>0</v>
      </c>
      <c r="O651" s="15" t="str">
        <f>IF(AND(A651='BANG KE NL'!$M$11,TH!C651="NL",LEFT(D651,1)="N"),"x","")</f>
        <v/>
      </c>
    </row>
    <row r="652" spans="1:15" s="276" customFormat="1" hidden="1">
      <c r="A652" s="24">
        <f t="shared" si="128"/>
        <v>4</v>
      </c>
      <c r="B652" s="176" t="str">
        <f>IF(AND(MONTH(E652)='IN-NX'!$J$5,'IN-NX'!$D$7=(D652&amp;"/"&amp;C652)),"x","")</f>
        <v/>
      </c>
      <c r="C652" s="173" t="s">
        <v>224</v>
      </c>
      <c r="D652" s="173" t="s">
        <v>220</v>
      </c>
      <c r="E652" s="70">
        <v>42099</v>
      </c>
      <c r="F652" s="62" t="s">
        <v>39</v>
      </c>
      <c r="G652" s="19" t="s">
        <v>229</v>
      </c>
      <c r="H652" s="200" t="s">
        <v>97</v>
      </c>
      <c r="I652" s="57" t="s">
        <v>145</v>
      </c>
      <c r="J652" s="15">
        <v>31000</v>
      </c>
      <c r="K652" s="15"/>
      <c r="L652" s="15">
        <f t="shared" si="132"/>
        <v>0</v>
      </c>
      <c r="M652" s="15">
        <v>200</v>
      </c>
      <c r="N652" s="15">
        <f t="shared" si="133"/>
        <v>6200000</v>
      </c>
      <c r="O652" s="15" t="str">
        <f>IF(AND(A652='BANG KE NL'!$M$11,TH!C652="NL",LEFT(D652,1)="N"),"x","")</f>
        <v/>
      </c>
    </row>
    <row r="653" spans="1:15" s="276" customFormat="1" hidden="1">
      <c r="A653" s="24">
        <f t="shared" si="128"/>
        <v>4</v>
      </c>
      <c r="B653" s="176" t="str">
        <f>IF(AND(MONTH(E653)='IN-NX'!$J$5,'IN-NX'!$D$7=(D653&amp;"/"&amp;C653)),"x","")</f>
        <v/>
      </c>
      <c r="C653" s="173" t="s">
        <v>224</v>
      </c>
      <c r="D653" s="173" t="s">
        <v>220</v>
      </c>
      <c r="E653" s="70">
        <v>42099</v>
      </c>
      <c r="F653" s="62" t="s">
        <v>49</v>
      </c>
      <c r="G653" s="19" t="s">
        <v>229</v>
      </c>
      <c r="H653" s="200" t="s">
        <v>97</v>
      </c>
      <c r="I653" s="57" t="s">
        <v>145</v>
      </c>
      <c r="J653" s="15">
        <v>46741.2</v>
      </c>
      <c r="K653" s="15"/>
      <c r="L653" s="15">
        <f t="shared" si="132"/>
        <v>0</v>
      </c>
      <c r="M653" s="15">
        <v>150</v>
      </c>
      <c r="N653" s="15">
        <f t="shared" si="133"/>
        <v>7011180</v>
      </c>
      <c r="O653" s="15" t="str">
        <f>IF(AND(A653='BANG KE NL'!$M$11,TH!C653="NL",LEFT(D653,1)="N"),"x","")</f>
        <v/>
      </c>
    </row>
    <row r="654" spans="1:15" hidden="1">
      <c r="A654" s="24">
        <f t="shared" si="128"/>
        <v>4</v>
      </c>
      <c r="B654" s="176" t="str">
        <f>IF(AND(MONTH(E654)='IN-NX'!$J$5,'IN-NX'!$D$7=(D654&amp;"/"&amp;C654)),"x","")</f>
        <v/>
      </c>
      <c r="C654" s="173" t="s">
        <v>224</v>
      </c>
      <c r="D654" s="173" t="s">
        <v>220</v>
      </c>
      <c r="E654" s="70">
        <v>42099</v>
      </c>
      <c r="F654" s="62" t="s">
        <v>40</v>
      </c>
      <c r="G654" s="19" t="s">
        <v>229</v>
      </c>
      <c r="H654" s="200" t="s">
        <v>97</v>
      </c>
      <c r="I654" s="57" t="s">
        <v>145</v>
      </c>
      <c r="J654" s="15">
        <v>11666.666999999999</v>
      </c>
      <c r="K654" s="15"/>
      <c r="L654" s="15">
        <f t="shared" si="132"/>
        <v>0</v>
      </c>
      <c r="M654" s="15">
        <v>200</v>
      </c>
      <c r="N654" s="15">
        <f t="shared" si="133"/>
        <v>2333333</v>
      </c>
      <c r="O654" s="15" t="str">
        <f>IF(AND(A654='BANG KE NL'!$M$11,TH!C654="NL",LEFT(D654,1)="N"),"x","")</f>
        <v/>
      </c>
    </row>
    <row r="655" spans="1:15" hidden="1">
      <c r="A655" s="24">
        <f t="shared" si="128"/>
        <v>4</v>
      </c>
      <c r="B655" s="176" t="str">
        <f>IF(AND(MONTH(E655)='IN-NX'!$J$5,'IN-NX'!$D$7=(D655&amp;"/"&amp;C655)),"x","")</f>
        <v/>
      </c>
      <c r="C655" s="173" t="s">
        <v>224</v>
      </c>
      <c r="D655" s="173" t="s">
        <v>220</v>
      </c>
      <c r="E655" s="70">
        <v>42099</v>
      </c>
      <c r="F655" s="62" t="s">
        <v>66</v>
      </c>
      <c r="G655" s="19" t="s">
        <v>229</v>
      </c>
      <c r="H655" s="200" t="s">
        <v>97</v>
      </c>
      <c r="I655" s="57" t="s">
        <v>145</v>
      </c>
      <c r="J655" s="15">
        <v>23616.16</v>
      </c>
      <c r="K655" s="15"/>
      <c r="L655" s="15">
        <f t="shared" si="132"/>
        <v>0</v>
      </c>
      <c r="M655" s="15">
        <v>150</v>
      </c>
      <c r="N655" s="15">
        <f t="shared" si="133"/>
        <v>3542424</v>
      </c>
      <c r="O655" s="15" t="str">
        <f>IF(AND(A655='BANG KE NL'!$M$11,TH!C655="NL",LEFT(D655,1)="N"),"x","")</f>
        <v/>
      </c>
    </row>
    <row r="656" spans="1:15" hidden="1">
      <c r="A656" s="24">
        <f t="shared" si="128"/>
        <v>4</v>
      </c>
      <c r="B656" s="176" t="str">
        <f>IF(AND(MONTH(E656)='IN-NX'!$J$5,'IN-NX'!$D$7=(D656&amp;"/"&amp;C656)),"x","")</f>
        <v/>
      </c>
      <c r="C656" s="173" t="s">
        <v>224</v>
      </c>
      <c r="D656" s="173" t="s">
        <v>221</v>
      </c>
      <c r="E656" s="70">
        <v>42101</v>
      </c>
      <c r="F656" s="62" t="s">
        <v>41</v>
      </c>
      <c r="G656" s="19" t="s">
        <v>229</v>
      </c>
      <c r="H656" s="200" t="s">
        <v>97</v>
      </c>
      <c r="I656" s="57" t="s">
        <v>145</v>
      </c>
      <c r="J656" s="15">
        <v>3500</v>
      </c>
      <c r="K656" s="15"/>
      <c r="L656" s="15">
        <f t="shared" si="132"/>
        <v>0</v>
      </c>
      <c r="M656" s="15">
        <v>250</v>
      </c>
      <c r="N656" s="15">
        <f t="shared" si="133"/>
        <v>875000</v>
      </c>
      <c r="O656" s="15" t="str">
        <f>IF(AND(A656='BANG KE NL'!$M$11,TH!C656="NL",LEFT(D656,1)="N"),"x","")</f>
        <v/>
      </c>
    </row>
    <row r="657" spans="1:15" hidden="1">
      <c r="A657" s="24">
        <f t="shared" si="128"/>
        <v>4</v>
      </c>
      <c r="B657" s="176" t="str">
        <f>IF(AND(MONTH(E657)='IN-NX'!$J$5,'IN-NX'!$D$7=(D657&amp;"/"&amp;C657)),"x","")</f>
        <v/>
      </c>
      <c r="C657" s="173" t="s">
        <v>224</v>
      </c>
      <c r="D657" s="173" t="s">
        <v>221</v>
      </c>
      <c r="E657" s="70">
        <v>42101</v>
      </c>
      <c r="F657" s="62" t="s">
        <v>108</v>
      </c>
      <c r="G657" s="19" t="s">
        <v>229</v>
      </c>
      <c r="H657" s="200" t="s">
        <v>97</v>
      </c>
      <c r="I657" s="57" t="s">
        <v>145</v>
      </c>
      <c r="J657" s="15">
        <v>3000</v>
      </c>
      <c r="K657" s="15"/>
      <c r="L657" s="15">
        <f t="shared" si="132"/>
        <v>0</v>
      </c>
      <c r="M657" s="15">
        <v>450</v>
      </c>
      <c r="N657" s="15">
        <f t="shared" si="133"/>
        <v>1350000</v>
      </c>
      <c r="O657" s="15" t="str">
        <f>IF(AND(A657='BANG KE NL'!$M$11,TH!C657="NL",LEFT(D657,1)="N"),"x","")</f>
        <v/>
      </c>
    </row>
    <row r="658" spans="1:15" hidden="1">
      <c r="A658" s="24">
        <f t="shared" si="128"/>
        <v>4</v>
      </c>
      <c r="B658" s="176" t="str">
        <f>IF(AND(MONTH(E658)='IN-NX'!$J$5,'IN-NX'!$D$7=(D658&amp;"/"&amp;C658)),"x","")</f>
        <v/>
      </c>
      <c r="C658" s="173" t="s">
        <v>224</v>
      </c>
      <c r="D658" s="173" t="s">
        <v>221</v>
      </c>
      <c r="E658" s="70">
        <v>42101</v>
      </c>
      <c r="F658" s="62" t="s">
        <v>109</v>
      </c>
      <c r="G658" s="19" t="s">
        <v>229</v>
      </c>
      <c r="H658" s="200" t="s">
        <v>97</v>
      </c>
      <c r="I658" s="57" t="s">
        <v>145</v>
      </c>
      <c r="J658" s="15">
        <v>5500</v>
      </c>
      <c r="K658" s="15"/>
      <c r="L658" s="15">
        <f t="shared" si="132"/>
        <v>0</v>
      </c>
      <c r="M658" s="15">
        <v>150</v>
      </c>
      <c r="N658" s="15">
        <f t="shared" si="133"/>
        <v>825000</v>
      </c>
      <c r="O658" s="15" t="str">
        <f>IF(AND(A658='BANG KE NL'!$M$11,TH!C658="NL",LEFT(D658,1)="N"),"x","")</f>
        <v/>
      </c>
    </row>
    <row r="659" spans="1:15" hidden="1">
      <c r="A659" s="24">
        <f t="shared" si="128"/>
        <v>4</v>
      </c>
      <c r="B659" s="176" t="str">
        <f>IF(AND(MONTH(E659)='IN-NX'!$J$5,'IN-NX'!$D$7=(D659&amp;"/"&amp;C659)),"x","")</f>
        <v/>
      </c>
      <c r="C659" s="173" t="s">
        <v>224</v>
      </c>
      <c r="D659" s="173" t="s">
        <v>221</v>
      </c>
      <c r="E659" s="70">
        <v>42101</v>
      </c>
      <c r="F659" s="62" t="s">
        <v>110</v>
      </c>
      <c r="G659" s="19" t="s">
        <v>229</v>
      </c>
      <c r="H659" s="200" t="s">
        <v>97</v>
      </c>
      <c r="I659" s="57" t="s">
        <v>145</v>
      </c>
      <c r="J659" s="15">
        <v>8465.3438901077934</v>
      </c>
      <c r="K659" s="15"/>
      <c r="L659" s="15">
        <f t="shared" si="132"/>
        <v>0</v>
      </c>
      <c r="M659" s="15">
        <v>500</v>
      </c>
      <c r="N659" s="15">
        <f t="shared" si="133"/>
        <v>4232672</v>
      </c>
      <c r="O659" s="15" t="str">
        <f>IF(AND(A659='BANG KE NL'!$M$11,TH!C659="NL",LEFT(D659,1)="N"),"x","")</f>
        <v/>
      </c>
    </row>
    <row r="660" spans="1:15" hidden="1">
      <c r="A660" s="24">
        <f t="shared" si="128"/>
        <v>4</v>
      </c>
      <c r="B660" s="176" t="str">
        <f>IF(AND(MONTH(E660)='IN-NX'!$J$5,'IN-NX'!$D$7=(D660&amp;"/"&amp;C660)),"x","")</f>
        <v/>
      </c>
      <c r="C660" s="173" t="s">
        <v>224</v>
      </c>
      <c r="D660" s="173" t="s">
        <v>222</v>
      </c>
      <c r="E660" s="70">
        <v>42109</v>
      </c>
      <c r="F660" s="62" t="s">
        <v>38</v>
      </c>
      <c r="G660" s="19" t="s">
        <v>229</v>
      </c>
      <c r="H660" s="200" t="s">
        <v>97</v>
      </c>
      <c r="I660" s="57" t="s">
        <v>145</v>
      </c>
      <c r="J660" s="15">
        <v>8500</v>
      </c>
      <c r="K660" s="15"/>
      <c r="L660" s="15">
        <f t="shared" si="132"/>
        <v>0</v>
      </c>
      <c r="M660" s="15">
        <v>150</v>
      </c>
      <c r="N660" s="15">
        <f t="shared" si="133"/>
        <v>1275000</v>
      </c>
      <c r="O660" s="15" t="str">
        <f>IF(AND(A660='BANG KE NL'!$M$11,TH!C660="NL",LEFT(D660,1)="N"),"x","")</f>
        <v/>
      </c>
    </row>
    <row r="661" spans="1:15" hidden="1">
      <c r="A661" s="24">
        <f t="shared" si="128"/>
        <v>4</v>
      </c>
      <c r="B661" s="176" t="str">
        <f>IF(AND(MONTH(E661)='IN-NX'!$J$5,'IN-NX'!$D$7=(D661&amp;"/"&amp;C661)),"x","")</f>
        <v/>
      </c>
      <c r="C661" s="173" t="s">
        <v>224</v>
      </c>
      <c r="D661" s="173" t="s">
        <v>222</v>
      </c>
      <c r="E661" s="70">
        <v>42109</v>
      </c>
      <c r="F661" s="62" t="s">
        <v>54</v>
      </c>
      <c r="G661" s="19" t="s">
        <v>229</v>
      </c>
      <c r="H661" s="200" t="s">
        <v>97</v>
      </c>
      <c r="I661" s="57" t="s">
        <v>145</v>
      </c>
      <c r="J661" s="15">
        <v>323.05080427144196</v>
      </c>
      <c r="K661" s="15"/>
      <c r="L661" s="15">
        <f t="shared" si="132"/>
        <v>0</v>
      </c>
      <c r="M661" s="15">
        <v>600</v>
      </c>
      <c r="N661" s="15">
        <f t="shared" si="133"/>
        <v>193830</v>
      </c>
      <c r="O661" s="15" t="str">
        <f>IF(AND(A661='BANG KE NL'!$M$11,TH!C661="NL",LEFT(D661,1)="N"),"x","")</f>
        <v/>
      </c>
    </row>
    <row r="662" spans="1:15" hidden="1">
      <c r="A662" s="24">
        <f t="shared" si="128"/>
        <v>4</v>
      </c>
      <c r="B662" s="176" t="str">
        <f>IF(AND(MONTH(E662)='IN-NX'!$J$5,'IN-NX'!$D$7=(D662&amp;"/"&amp;C662)),"x","")</f>
        <v/>
      </c>
      <c r="C662" s="173" t="s">
        <v>224</v>
      </c>
      <c r="D662" s="173" t="s">
        <v>222</v>
      </c>
      <c r="E662" s="70">
        <v>42109</v>
      </c>
      <c r="F662" s="62" t="s">
        <v>107</v>
      </c>
      <c r="G662" s="19" t="s">
        <v>229</v>
      </c>
      <c r="H662" s="200" t="s">
        <v>97</v>
      </c>
      <c r="I662" s="57" t="s">
        <v>145</v>
      </c>
      <c r="J662" s="15">
        <v>15000</v>
      </c>
      <c r="K662" s="15"/>
      <c r="L662" s="15">
        <f t="shared" ref="L662:L664" si="134">ROUND(J662*K662,0)</f>
        <v>0</v>
      </c>
      <c r="M662" s="15">
        <v>150</v>
      </c>
      <c r="N662" s="15">
        <f t="shared" ref="N662:N664" si="135">ROUND(J662*M662,0)</f>
        <v>2250000</v>
      </c>
      <c r="O662" s="15" t="str">
        <f>IF(AND(A662='BANG KE NL'!$M$11,TH!C662="NL",LEFT(D662,1)="N"),"x","")</f>
        <v/>
      </c>
    </row>
    <row r="663" spans="1:15" hidden="1">
      <c r="A663" s="24">
        <f t="shared" si="128"/>
        <v>4</v>
      </c>
      <c r="B663" s="176" t="str">
        <f>IF(AND(MONTH(E663)='IN-NX'!$J$5,'IN-NX'!$D$7=(D663&amp;"/"&amp;C663)),"x","")</f>
        <v/>
      </c>
      <c r="C663" s="173" t="s">
        <v>224</v>
      </c>
      <c r="D663" s="173" t="s">
        <v>223</v>
      </c>
      <c r="E663" s="70">
        <v>42115</v>
      </c>
      <c r="F663" s="62" t="s">
        <v>47</v>
      </c>
      <c r="G663" s="19" t="s">
        <v>229</v>
      </c>
      <c r="H663" s="200" t="s">
        <v>97</v>
      </c>
      <c r="I663" s="57" t="s">
        <v>145</v>
      </c>
      <c r="J663" s="15">
        <v>5000</v>
      </c>
      <c r="K663" s="15"/>
      <c r="L663" s="15">
        <f t="shared" si="134"/>
        <v>0</v>
      </c>
      <c r="M663" s="15">
        <v>1580</v>
      </c>
      <c r="N663" s="15">
        <f t="shared" si="135"/>
        <v>7900000</v>
      </c>
      <c r="O663" s="15" t="str">
        <f>IF(AND(A663='BANG KE NL'!$M$11,TH!C663="NL",LEFT(D663,1)="N"),"x","")</f>
        <v/>
      </c>
    </row>
    <row r="664" spans="1:15" hidden="1">
      <c r="A664" s="24">
        <f t="shared" si="128"/>
        <v>4</v>
      </c>
      <c r="B664" s="176" t="str">
        <f>IF(AND(MONTH(E664)='IN-NX'!$J$5,'IN-NX'!$D$7=(D664&amp;"/"&amp;C664)),"x","")</f>
        <v/>
      </c>
      <c r="C664" s="173" t="s">
        <v>224</v>
      </c>
      <c r="D664" s="173" t="s">
        <v>230</v>
      </c>
      <c r="E664" s="70">
        <v>42119</v>
      </c>
      <c r="F664" s="62" t="s">
        <v>63</v>
      </c>
      <c r="G664" s="19" t="s">
        <v>229</v>
      </c>
      <c r="H664" s="200" t="s">
        <v>97</v>
      </c>
      <c r="I664" s="57" t="s">
        <v>145</v>
      </c>
      <c r="J664" s="15">
        <v>18400</v>
      </c>
      <c r="K664" s="15"/>
      <c r="L664" s="15">
        <f t="shared" si="134"/>
        <v>0</v>
      </c>
      <c r="M664" s="15">
        <v>640</v>
      </c>
      <c r="N664" s="15">
        <f t="shared" si="135"/>
        <v>11776000</v>
      </c>
      <c r="O664" s="15" t="str">
        <f>IF(AND(A664='BANG KE NL'!$M$11,TH!C664="NL",LEFT(D664,1)="N"),"x","")</f>
        <v/>
      </c>
    </row>
    <row r="665" spans="1:15" hidden="1">
      <c r="A665" s="24">
        <f t="shared" si="128"/>
        <v>5</v>
      </c>
      <c r="B665" s="176" t="str">
        <f>IF(AND(MONTH(E665)='IN-NX'!$J$5,'IN-NX'!$D$7=(D665&amp;"/"&amp;C665)),"x","")</f>
        <v/>
      </c>
      <c r="C665" s="173" t="s">
        <v>224</v>
      </c>
      <c r="D665" s="173" t="s">
        <v>214</v>
      </c>
      <c r="E665" s="70">
        <v>42136</v>
      </c>
      <c r="F665" s="62" t="s">
        <v>101</v>
      </c>
      <c r="G665" s="19" t="s">
        <v>151</v>
      </c>
      <c r="H665" s="200" t="s">
        <v>145</v>
      </c>
      <c r="I665" s="57" t="s">
        <v>124</v>
      </c>
      <c r="J665" s="15">
        <v>17000</v>
      </c>
      <c r="K665" s="15">
        <v>1000</v>
      </c>
      <c r="L665" s="15">
        <f t="shared" si="132"/>
        <v>17000000</v>
      </c>
      <c r="M665" s="15"/>
      <c r="N665" s="15">
        <f t="shared" si="133"/>
        <v>0</v>
      </c>
      <c r="O665" s="15" t="str">
        <f>IF(AND(A665='BANG KE NL'!$M$11,TH!C665="NL",LEFT(D665,1)="N"),"x","")</f>
        <v/>
      </c>
    </row>
    <row r="666" spans="1:15" hidden="1">
      <c r="A666" s="24">
        <f t="shared" si="128"/>
        <v>5</v>
      </c>
      <c r="B666" s="176" t="str">
        <f>IF(AND(MONTH(E666)='IN-NX'!$J$5,'IN-NX'!$D$7=(D666&amp;"/"&amp;C666)),"x","")</f>
        <v/>
      </c>
      <c r="C666" s="173" t="s">
        <v>224</v>
      </c>
      <c r="D666" s="173" t="s">
        <v>214</v>
      </c>
      <c r="E666" s="70">
        <v>42136</v>
      </c>
      <c r="F666" s="62" t="s">
        <v>380</v>
      </c>
      <c r="G666" s="19" t="s">
        <v>151</v>
      </c>
      <c r="H666" s="200" t="s">
        <v>145</v>
      </c>
      <c r="I666" s="57" t="s">
        <v>124</v>
      </c>
      <c r="J666" s="15">
        <v>2500</v>
      </c>
      <c r="K666" s="15">
        <v>1000</v>
      </c>
      <c r="L666" s="15">
        <f t="shared" si="132"/>
        <v>2500000</v>
      </c>
      <c r="M666" s="15"/>
      <c r="N666" s="15">
        <f t="shared" si="133"/>
        <v>0</v>
      </c>
      <c r="O666" s="15" t="str">
        <f>IF(AND(A666='BANG KE NL'!$M$11,TH!C666="NL",LEFT(D666,1)="N"),"x","")</f>
        <v/>
      </c>
    </row>
    <row r="667" spans="1:15" hidden="1">
      <c r="A667" s="24">
        <f t="shared" si="128"/>
        <v>5</v>
      </c>
      <c r="B667" s="176" t="str">
        <f>IF(AND(MONTH(E667)='IN-NX'!$J$5,'IN-NX'!$D$7=(D667&amp;"/"&amp;C667)),"x","")</f>
        <v/>
      </c>
      <c r="C667" s="173" t="s">
        <v>224</v>
      </c>
      <c r="D667" s="173" t="s">
        <v>215</v>
      </c>
      <c r="E667" s="70">
        <v>42140</v>
      </c>
      <c r="F667" s="62" t="s">
        <v>101</v>
      </c>
      <c r="G667" s="19" t="s">
        <v>151</v>
      </c>
      <c r="H667" s="200" t="s">
        <v>145</v>
      </c>
      <c r="I667" s="57" t="s">
        <v>124</v>
      </c>
      <c r="J667" s="15">
        <v>17000</v>
      </c>
      <c r="K667" s="15">
        <v>1000</v>
      </c>
      <c r="L667" s="15">
        <f t="shared" si="132"/>
        <v>17000000</v>
      </c>
      <c r="M667" s="15"/>
      <c r="N667" s="15">
        <f t="shared" si="133"/>
        <v>0</v>
      </c>
      <c r="O667" s="15" t="str">
        <f>IF(AND(A667='BANG KE NL'!$M$11,TH!C667="NL",LEFT(D667,1)="N"),"x","")</f>
        <v/>
      </c>
    </row>
    <row r="668" spans="1:15" hidden="1">
      <c r="A668" s="24">
        <f t="shared" si="128"/>
        <v>5</v>
      </c>
      <c r="B668" s="176" t="str">
        <f>IF(AND(MONTH(E668)='IN-NX'!$J$5,'IN-NX'!$D$7=(D668&amp;"/"&amp;C668)),"x","")</f>
        <v/>
      </c>
      <c r="C668" s="173" t="s">
        <v>224</v>
      </c>
      <c r="D668" s="173" t="s">
        <v>215</v>
      </c>
      <c r="E668" s="70">
        <v>42140</v>
      </c>
      <c r="F668" s="62" t="s">
        <v>380</v>
      </c>
      <c r="G668" s="19" t="s">
        <v>151</v>
      </c>
      <c r="H668" s="200" t="s">
        <v>145</v>
      </c>
      <c r="I668" s="57" t="s">
        <v>124</v>
      </c>
      <c r="J668" s="15">
        <v>2500</v>
      </c>
      <c r="K668" s="15">
        <v>1000</v>
      </c>
      <c r="L668" s="15">
        <f t="shared" si="132"/>
        <v>2500000</v>
      </c>
      <c r="M668" s="15"/>
      <c r="N668" s="15">
        <f t="shared" si="133"/>
        <v>0</v>
      </c>
      <c r="O668" s="15" t="str">
        <f>IF(AND(A668='BANG KE NL'!$M$11,TH!C668="NL",LEFT(D668,1)="N"),"x","")</f>
        <v/>
      </c>
    </row>
    <row r="669" spans="1:15" hidden="1">
      <c r="A669" s="24">
        <f t="shared" si="128"/>
        <v>5</v>
      </c>
      <c r="B669" s="176" t="str">
        <f>IF(AND(MONTH(E669)='IN-NX'!$J$5,'IN-NX'!$D$7=(D669&amp;"/"&amp;C669)),"x","")</f>
        <v/>
      </c>
      <c r="C669" s="173" t="s">
        <v>224</v>
      </c>
      <c r="D669" s="173" t="s">
        <v>216</v>
      </c>
      <c r="E669" s="70">
        <v>42154</v>
      </c>
      <c r="F669" s="62" t="s">
        <v>276</v>
      </c>
      <c r="G669" s="19" t="s">
        <v>151</v>
      </c>
      <c r="H669" s="200" t="s">
        <v>145</v>
      </c>
      <c r="I669" s="57" t="s">
        <v>124</v>
      </c>
      <c r="J669" s="15">
        <v>14200</v>
      </c>
      <c r="K669" s="15">
        <v>1300</v>
      </c>
      <c r="L669" s="15">
        <f t="shared" si="132"/>
        <v>18460000</v>
      </c>
      <c r="M669" s="15"/>
      <c r="N669" s="15">
        <f t="shared" si="133"/>
        <v>0</v>
      </c>
      <c r="O669" s="15" t="str">
        <f>IF(AND(A669='BANG KE NL'!$M$11,TH!C669="NL",LEFT(D669,1)="N"),"x","")</f>
        <v/>
      </c>
    </row>
    <row r="670" spans="1:15" hidden="1">
      <c r="A670" s="24">
        <f t="shared" si="128"/>
        <v>5</v>
      </c>
      <c r="B670" s="176" t="str">
        <f>IF(AND(MONTH(E670)='IN-NX'!$J$5,'IN-NX'!$D$7=(D670&amp;"/"&amp;C670)),"x","")</f>
        <v/>
      </c>
      <c r="C670" s="173" t="s">
        <v>224</v>
      </c>
      <c r="D670" s="173" t="s">
        <v>216</v>
      </c>
      <c r="E670" s="70">
        <v>42154</v>
      </c>
      <c r="F670" s="62" t="s">
        <v>100</v>
      </c>
      <c r="G670" s="19" t="s">
        <v>151</v>
      </c>
      <c r="H670" s="200" t="s">
        <v>145</v>
      </c>
      <c r="I670" s="57" t="s">
        <v>124</v>
      </c>
      <c r="J670" s="15">
        <v>20000</v>
      </c>
      <c r="K670" s="15">
        <v>160</v>
      </c>
      <c r="L670" s="15">
        <f t="shared" si="132"/>
        <v>3200000</v>
      </c>
      <c r="M670" s="15"/>
      <c r="N670" s="15">
        <f t="shared" si="133"/>
        <v>0</v>
      </c>
      <c r="O670" s="15" t="str">
        <f>IF(AND(A670='BANG KE NL'!$M$11,TH!C670="NL",LEFT(D670,1)="N"),"x","")</f>
        <v/>
      </c>
    </row>
    <row r="671" spans="1:15" hidden="1">
      <c r="A671" s="24">
        <f t="shared" si="128"/>
        <v>5</v>
      </c>
      <c r="B671" s="176" t="str">
        <f>IF(AND(MONTH(E671)='IN-NX'!$J$5,'IN-NX'!$D$7=(D671&amp;"/"&amp;C671)),"x","")</f>
        <v/>
      </c>
      <c r="C671" s="173" t="s">
        <v>224</v>
      </c>
      <c r="D671" s="173" t="s">
        <v>220</v>
      </c>
      <c r="E671" s="70">
        <v>42133</v>
      </c>
      <c r="F671" s="62" t="s">
        <v>41</v>
      </c>
      <c r="G671" s="19" t="s">
        <v>229</v>
      </c>
      <c r="H671" s="200" t="s">
        <v>97</v>
      </c>
      <c r="I671" s="57" t="s">
        <v>145</v>
      </c>
      <c r="J671" s="15">
        <v>3500</v>
      </c>
      <c r="K671" s="15"/>
      <c r="L671" s="15">
        <f t="shared" ref="L671:L703" si="136">ROUND(J671*K671,0)</f>
        <v>0</v>
      </c>
      <c r="M671" s="15">
        <v>250</v>
      </c>
      <c r="N671" s="15">
        <f t="shared" ref="N671:N703" si="137">ROUND(J671*M671,0)</f>
        <v>875000</v>
      </c>
      <c r="O671" s="15" t="str">
        <f>IF(AND(A671='BANG KE NL'!$M$11,TH!C671="NL",LEFT(D671,1)="N"),"x","")</f>
        <v/>
      </c>
    </row>
    <row r="672" spans="1:15" hidden="1">
      <c r="A672" s="24">
        <f t="shared" si="128"/>
        <v>5</v>
      </c>
      <c r="B672" s="176" t="str">
        <f>IF(AND(MONTH(E672)='IN-NX'!$J$5,'IN-NX'!$D$7=(D672&amp;"/"&amp;C672)),"x","")</f>
        <v/>
      </c>
      <c r="C672" s="173" t="s">
        <v>224</v>
      </c>
      <c r="D672" s="173" t="s">
        <v>220</v>
      </c>
      <c r="E672" s="70">
        <v>42133</v>
      </c>
      <c r="F672" s="62" t="s">
        <v>108</v>
      </c>
      <c r="G672" s="19" t="s">
        <v>229</v>
      </c>
      <c r="H672" s="200" t="s">
        <v>97</v>
      </c>
      <c r="I672" s="57" t="s">
        <v>145</v>
      </c>
      <c r="J672" s="15">
        <v>3000</v>
      </c>
      <c r="K672" s="15"/>
      <c r="L672" s="15">
        <f t="shared" si="136"/>
        <v>0</v>
      </c>
      <c r="M672" s="15">
        <v>450</v>
      </c>
      <c r="N672" s="15">
        <f t="shared" si="137"/>
        <v>1350000</v>
      </c>
      <c r="O672" s="15" t="str">
        <f>IF(AND(A672='BANG KE NL'!$M$11,TH!C672="NL",LEFT(D672,1)="N"),"x","")</f>
        <v/>
      </c>
    </row>
    <row r="673" spans="1:15" hidden="1">
      <c r="A673" s="24">
        <f t="shared" si="128"/>
        <v>5</v>
      </c>
      <c r="B673" s="176" t="str">
        <f>IF(AND(MONTH(E673)='IN-NX'!$J$5,'IN-NX'!$D$7=(D673&amp;"/"&amp;C673)),"x","")</f>
        <v/>
      </c>
      <c r="C673" s="173" t="s">
        <v>224</v>
      </c>
      <c r="D673" s="173" t="s">
        <v>220</v>
      </c>
      <c r="E673" s="70">
        <v>42133</v>
      </c>
      <c r="F673" s="62" t="s">
        <v>109</v>
      </c>
      <c r="G673" s="19" t="s">
        <v>229</v>
      </c>
      <c r="H673" s="200" t="s">
        <v>97</v>
      </c>
      <c r="I673" s="57" t="s">
        <v>145</v>
      </c>
      <c r="J673" s="15">
        <v>5500</v>
      </c>
      <c r="K673" s="15"/>
      <c r="L673" s="15">
        <f t="shared" si="136"/>
        <v>0</v>
      </c>
      <c r="M673" s="15">
        <v>150</v>
      </c>
      <c r="N673" s="15">
        <f t="shared" si="137"/>
        <v>825000</v>
      </c>
      <c r="O673" s="15" t="str">
        <f>IF(AND(A673='BANG KE NL'!$M$11,TH!C673="NL",LEFT(D673,1)="N"),"x","")</f>
        <v/>
      </c>
    </row>
    <row r="674" spans="1:15" hidden="1">
      <c r="A674" s="24">
        <f t="shared" si="128"/>
        <v>5</v>
      </c>
      <c r="B674" s="176" t="str">
        <f>IF(AND(MONTH(E674)='IN-NX'!$J$5,'IN-NX'!$D$7=(D674&amp;"/"&amp;C674)),"x","")</f>
        <v/>
      </c>
      <c r="C674" s="173" t="s">
        <v>224</v>
      </c>
      <c r="D674" s="173" t="s">
        <v>220</v>
      </c>
      <c r="E674" s="70">
        <v>42133</v>
      </c>
      <c r="F674" s="62" t="s">
        <v>110</v>
      </c>
      <c r="G674" s="19" t="s">
        <v>229</v>
      </c>
      <c r="H674" s="200" t="s">
        <v>97</v>
      </c>
      <c r="I674" s="57" t="s">
        <v>145</v>
      </c>
      <c r="J674" s="15">
        <v>8465.3438901077934</v>
      </c>
      <c r="K674" s="15"/>
      <c r="L674" s="15">
        <f t="shared" si="136"/>
        <v>0</v>
      </c>
      <c r="M674" s="15">
        <v>500</v>
      </c>
      <c r="N674" s="15">
        <f t="shared" si="137"/>
        <v>4232672</v>
      </c>
      <c r="O674" s="15" t="str">
        <f>IF(AND(A674='BANG KE NL'!$M$11,TH!C674="NL",LEFT(D674,1)="N"),"x","")</f>
        <v/>
      </c>
    </row>
    <row r="675" spans="1:15" hidden="1">
      <c r="A675" s="24">
        <f t="shared" si="128"/>
        <v>5</v>
      </c>
      <c r="B675" s="176" t="str">
        <f>IF(AND(MONTH(E675)='IN-NX'!$J$5,'IN-NX'!$D$7=(D675&amp;"/"&amp;C675)),"x","")</f>
        <v/>
      </c>
      <c r="C675" s="173" t="s">
        <v>224</v>
      </c>
      <c r="D675" s="173" t="s">
        <v>221</v>
      </c>
      <c r="E675" s="70">
        <v>42139</v>
      </c>
      <c r="F675" s="62" t="s">
        <v>38</v>
      </c>
      <c r="G675" s="19" t="s">
        <v>229</v>
      </c>
      <c r="H675" s="200" t="s">
        <v>97</v>
      </c>
      <c r="I675" s="57" t="s">
        <v>145</v>
      </c>
      <c r="J675" s="15">
        <v>8500</v>
      </c>
      <c r="K675" s="15"/>
      <c r="L675" s="15">
        <f t="shared" si="136"/>
        <v>0</v>
      </c>
      <c r="M675" s="15">
        <v>100</v>
      </c>
      <c r="N675" s="15">
        <f t="shared" si="137"/>
        <v>850000</v>
      </c>
      <c r="O675" s="15" t="str">
        <f>IF(AND(A675='BANG KE NL'!$M$11,TH!C675="NL",LEFT(D675,1)="N"),"x","")</f>
        <v/>
      </c>
    </row>
    <row r="676" spans="1:15" hidden="1">
      <c r="A676" s="24">
        <f t="shared" si="128"/>
        <v>5</v>
      </c>
      <c r="B676" s="176" t="str">
        <f>IF(AND(MONTH(E676)='IN-NX'!$J$5,'IN-NX'!$D$7=(D676&amp;"/"&amp;C676)),"x","")</f>
        <v/>
      </c>
      <c r="C676" s="173" t="s">
        <v>224</v>
      </c>
      <c r="D676" s="173" t="s">
        <v>221</v>
      </c>
      <c r="E676" s="70">
        <v>42139</v>
      </c>
      <c r="F676" s="62" t="s">
        <v>54</v>
      </c>
      <c r="G676" s="19" t="s">
        <v>229</v>
      </c>
      <c r="H676" s="200" t="s">
        <v>97</v>
      </c>
      <c r="I676" s="57" t="s">
        <v>145</v>
      </c>
      <c r="J676" s="15">
        <v>323.05080427144196</v>
      </c>
      <c r="K676" s="15"/>
      <c r="L676" s="15">
        <f t="shared" si="136"/>
        <v>0</v>
      </c>
      <c r="M676" s="15">
        <v>600</v>
      </c>
      <c r="N676" s="15">
        <f t="shared" si="137"/>
        <v>193830</v>
      </c>
      <c r="O676" s="15" t="str">
        <f>IF(AND(A676='BANG KE NL'!$M$11,TH!C676="NL",LEFT(D676,1)="N"),"x","")</f>
        <v/>
      </c>
    </row>
    <row r="677" spans="1:15" hidden="1">
      <c r="A677" s="24">
        <f t="shared" ref="A677:A740" si="138">IF(E677&lt;&gt;"",MONTH(E677),"")</f>
        <v>5</v>
      </c>
      <c r="B677" s="176" t="str">
        <f>IF(AND(MONTH(E677)='IN-NX'!$J$5,'IN-NX'!$D$7=(D677&amp;"/"&amp;C677)),"x","")</f>
        <v/>
      </c>
      <c r="C677" s="173" t="s">
        <v>224</v>
      </c>
      <c r="D677" s="173" t="s">
        <v>221</v>
      </c>
      <c r="E677" s="70">
        <v>42139</v>
      </c>
      <c r="F677" s="62" t="s">
        <v>107</v>
      </c>
      <c r="G677" s="19" t="s">
        <v>229</v>
      </c>
      <c r="H677" s="200" t="s">
        <v>97</v>
      </c>
      <c r="I677" s="57" t="s">
        <v>145</v>
      </c>
      <c r="J677" s="15">
        <v>15000</v>
      </c>
      <c r="K677" s="15"/>
      <c r="L677" s="15">
        <f t="shared" si="136"/>
        <v>0</v>
      </c>
      <c r="M677" s="15">
        <v>200</v>
      </c>
      <c r="N677" s="15">
        <f t="shared" si="137"/>
        <v>3000000</v>
      </c>
      <c r="O677" s="15" t="str">
        <f>IF(AND(A677='BANG KE NL'!$M$11,TH!C677="NL",LEFT(D677,1)="N"),"x","")</f>
        <v/>
      </c>
    </row>
    <row r="678" spans="1:15" hidden="1">
      <c r="A678" s="24">
        <f t="shared" si="138"/>
        <v>5</v>
      </c>
      <c r="B678" s="176" t="str">
        <f>IF(AND(MONTH(E678)='IN-NX'!$J$5,'IN-NX'!$D$7=(D678&amp;"/"&amp;C678)),"x","")</f>
        <v/>
      </c>
      <c r="C678" s="173" t="s">
        <v>224</v>
      </c>
      <c r="D678" s="173" t="s">
        <v>222</v>
      </c>
      <c r="E678" s="70">
        <v>42141</v>
      </c>
      <c r="F678" s="62" t="s">
        <v>380</v>
      </c>
      <c r="G678" s="19" t="s">
        <v>229</v>
      </c>
      <c r="H678" s="200" t="s">
        <v>97</v>
      </c>
      <c r="I678" s="57" t="s">
        <v>145</v>
      </c>
      <c r="J678" s="15">
        <v>2500</v>
      </c>
      <c r="K678" s="15"/>
      <c r="L678" s="15">
        <f t="shared" si="136"/>
        <v>0</v>
      </c>
      <c r="M678" s="15">
        <v>2000</v>
      </c>
      <c r="N678" s="15">
        <f t="shared" si="137"/>
        <v>5000000</v>
      </c>
      <c r="O678" s="15" t="str">
        <f>IF(AND(A678='BANG KE NL'!$M$11,TH!C678="NL",LEFT(D678,1)="N"),"x","")</f>
        <v/>
      </c>
    </row>
    <row r="679" spans="1:15" hidden="1">
      <c r="A679" s="24">
        <f t="shared" si="138"/>
        <v>5</v>
      </c>
      <c r="B679" s="176" t="str">
        <f>IF(AND(MONTH(E679)='IN-NX'!$J$5,'IN-NX'!$D$7=(D679&amp;"/"&amp;C679)),"x","")</f>
        <v/>
      </c>
      <c r="C679" s="173" t="s">
        <v>224</v>
      </c>
      <c r="D679" s="173" t="s">
        <v>222</v>
      </c>
      <c r="E679" s="70">
        <v>42141</v>
      </c>
      <c r="F679" s="62" t="s">
        <v>101</v>
      </c>
      <c r="G679" s="19" t="s">
        <v>229</v>
      </c>
      <c r="H679" s="200" t="s">
        <v>97</v>
      </c>
      <c r="I679" s="57" t="s">
        <v>145</v>
      </c>
      <c r="J679" s="15">
        <v>17000</v>
      </c>
      <c r="K679" s="15"/>
      <c r="L679" s="15">
        <f t="shared" si="136"/>
        <v>0</v>
      </c>
      <c r="M679" s="15">
        <v>2000</v>
      </c>
      <c r="N679" s="15">
        <f t="shared" si="137"/>
        <v>34000000</v>
      </c>
      <c r="O679" s="15" t="str">
        <f>IF(AND(A679='BANG KE NL'!$M$11,TH!C679="NL",LEFT(D679,1)="N"),"x","")</f>
        <v/>
      </c>
    </row>
    <row r="680" spans="1:15" hidden="1">
      <c r="A680" s="24">
        <f t="shared" si="138"/>
        <v>5</v>
      </c>
      <c r="B680" s="176" t="str">
        <f>IF(AND(MONTH(E680)='IN-NX'!$J$5,'IN-NX'!$D$7=(D680&amp;"/"&amp;C680)),"x","")</f>
        <v/>
      </c>
      <c r="C680" s="173" t="s">
        <v>224</v>
      </c>
      <c r="D680" s="173" t="s">
        <v>222</v>
      </c>
      <c r="E680" s="70">
        <v>42141</v>
      </c>
      <c r="F680" s="62" t="s">
        <v>98</v>
      </c>
      <c r="G680" s="19" t="s">
        <v>229</v>
      </c>
      <c r="H680" s="200" t="s">
        <v>97</v>
      </c>
      <c r="I680" s="57" t="s">
        <v>145</v>
      </c>
      <c r="J680" s="15">
        <v>12900</v>
      </c>
      <c r="K680" s="15"/>
      <c r="L680" s="15">
        <f t="shared" si="136"/>
        <v>0</v>
      </c>
      <c r="M680" s="15">
        <v>525</v>
      </c>
      <c r="N680" s="15">
        <f t="shared" si="137"/>
        <v>6772500</v>
      </c>
      <c r="O680" s="15" t="str">
        <f>IF(AND(A680='BANG KE NL'!$M$11,TH!C680="NL",LEFT(D680,1)="N"),"x","")</f>
        <v/>
      </c>
    </row>
    <row r="681" spans="1:15" hidden="1">
      <c r="A681" s="24">
        <f t="shared" si="138"/>
        <v>6</v>
      </c>
      <c r="B681" s="176" t="str">
        <f>IF(AND(MONTH(E681)='IN-NX'!$J$5,'IN-NX'!$D$7=(D681&amp;"/"&amp;C681)),"x","")</f>
        <v/>
      </c>
      <c r="C681" s="173" t="s">
        <v>224</v>
      </c>
      <c r="D681" s="173" t="s">
        <v>214</v>
      </c>
      <c r="E681" s="70">
        <v>42160</v>
      </c>
      <c r="F681" s="62" t="s">
        <v>47</v>
      </c>
      <c r="G681" s="19" t="s">
        <v>151</v>
      </c>
      <c r="H681" s="200" t="s">
        <v>145</v>
      </c>
      <c r="I681" s="57" t="s">
        <v>124</v>
      </c>
      <c r="J681" s="15">
        <v>16800</v>
      </c>
      <c r="K681" s="15">
        <v>720</v>
      </c>
      <c r="L681" s="15">
        <f t="shared" si="136"/>
        <v>12096000</v>
      </c>
      <c r="M681" s="15"/>
      <c r="N681" s="15">
        <f t="shared" si="137"/>
        <v>0</v>
      </c>
      <c r="O681" s="15" t="str">
        <f>IF(AND(A681='BANG KE NL'!$M$11,TH!C681="NL",LEFT(D681,1)="N"),"x","")</f>
        <v/>
      </c>
    </row>
    <row r="682" spans="1:15" hidden="1">
      <c r="A682" s="24">
        <f t="shared" si="138"/>
        <v>6</v>
      </c>
      <c r="B682" s="176" t="str">
        <f>IF(AND(MONTH(E682)='IN-NX'!$J$5,'IN-NX'!$D$7=(D682&amp;"/"&amp;C682)),"x","")</f>
        <v/>
      </c>
      <c r="C682" s="173" t="s">
        <v>224</v>
      </c>
      <c r="D682" s="173" t="s">
        <v>215</v>
      </c>
      <c r="E682" s="70">
        <v>42177</v>
      </c>
      <c r="F682" s="62" t="s">
        <v>110</v>
      </c>
      <c r="G682" s="19" t="s">
        <v>384</v>
      </c>
      <c r="H682" s="200" t="s">
        <v>145</v>
      </c>
      <c r="I682" s="57" t="s">
        <v>124</v>
      </c>
      <c r="J682" s="15">
        <v>14300</v>
      </c>
      <c r="K682" s="15">
        <v>5400</v>
      </c>
      <c r="L682" s="15">
        <f t="shared" ref="L682" si="139">ROUND(J682*K682,0)</f>
        <v>77220000</v>
      </c>
      <c r="M682" s="15"/>
      <c r="N682" s="15">
        <f t="shared" ref="N682" si="140">ROUND(J682*M682,0)</f>
        <v>0</v>
      </c>
      <c r="O682" s="15" t="str">
        <f>IF(AND(A682='BANG KE NL'!$M$11,TH!C682="NL",LEFT(D682,1)="N"),"x","")</f>
        <v/>
      </c>
    </row>
    <row r="683" spans="1:15" hidden="1">
      <c r="A683" s="24">
        <f t="shared" si="138"/>
        <v>6</v>
      </c>
      <c r="B683" s="176" t="str">
        <f>IF(AND(MONTH(E683)='IN-NX'!$J$5,'IN-NX'!$D$7=(D683&amp;"/"&amp;C683)),"x","")</f>
        <v/>
      </c>
      <c r="C683" s="173" t="s">
        <v>224</v>
      </c>
      <c r="D683" s="173" t="s">
        <v>216</v>
      </c>
      <c r="E683" s="70">
        <v>42178</v>
      </c>
      <c r="F683" s="62" t="s">
        <v>110</v>
      </c>
      <c r="G683" s="19" t="s">
        <v>383</v>
      </c>
      <c r="H683" s="200" t="s">
        <v>145</v>
      </c>
      <c r="I683" s="57" t="s">
        <v>124</v>
      </c>
      <c r="J683" s="15">
        <v>14091</v>
      </c>
      <c r="K683" s="15">
        <v>1080</v>
      </c>
      <c r="L683" s="15">
        <f t="shared" ref="L683" si="141">ROUND(J683*K683,0)</f>
        <v>15218280</v>
      </c>
      <c r="M683" s="15"/>
      <c r="N683" s="15">
        <f t="shared" ref="N683" si="142">ROUND(J683*M683,0)</f>
        <v>0</v>
      </c>
      <c r="O683" s="15" t="str">
        <f>IF(AND(A683='BANG KE NL'!$M$11,TH!C683="NL",LEFT(D683,1)="N"),"x","")</f>
        <v/>
      </c>
    </row>
    <row r="684" spans="1:15" hidden="1">
      <c r="A684" s="24">
        <f t="shared" si="138"/>
        <v>6</v>
      </c>
      <c r="B684" s="176" t="str">
        <f>IF(AND(MONTH(E684)='IN-NX'!$J$5,'IN-NX'!$D$7=(D684&amp;"/"&amp;C684)),"x","")</f>
        <v/>
      </c>
      <c r="C684" s="173" t="s">
        <v>224</v>
      </c>
      <c r="D684" s="173" t="s">
        <v>217</v>
      </c>
      <c r="E684" s="70">
        <v>42179</v>
      </c>
      <c r="F684" s="62" t="s">
        <v>110</v>
      </c>
      <c r="G684" s="19" t="s">
        <v>383</v>
      </c>
      <c r="H684" s="200" t="s">
        <v>145</v>
      </c>
      <c r="I684" s="57" t="s">
        <v>124</v>
      </c>
      <c r="J684" s="15">
        <v>14091</v>
      </c>
      <c r="K684" s="15">
        <v>270</v>
      </c>
      <c r="L684" s="15">
        <f t="shared" ref="L684" si="143">ROUND(J684*K684,0)</f>
        <v>3804570</v>
      </c>
      <c r="M684" s="15"/>
      <c r="N684" s="15">
        <f t="shared" ref="N684" si="144">ROUND(J684*M684,0)</f>
        <v>0</v>
      </c>
      <c r="O684" s="15" t="str">
        <f>IF(AND(A684='BANG KE NL'!$M$11,TH!C684="NL",LEFT(D684,1)="N"),"x","")</f>
        <v/>
      </c>
    </row>
    <row r="685" spans="1:15" hidden="1">
      <c r="A685" s="24">
        <f t="shared" si="138"/>
        <v>6</v>
      </c>
      <c r="B685" s="176" t="str">
        <f>IF(AND(MONTH(E685)='IN-NX'!$J$5,'IN-NX'!$D$7=(D685&amp;"/"&amp;C685)),"x","")</f>
        <v/>
      </c>
      <c r="C685" s="173" t="s">
        <v>224</v>
      </c>
      <c r="D685" s="173" t="s">
        <v>218</v>
      </c>
      <c r="E685" s="70">
        <v>42182</v>
      </c>
      <c r="F685" s="62" t="s">
        <v>38</v>
      </c>
      <c r="G685" s="19" t="s">
        <v>275</v>
      </c>
      <c r="H685" s="200" t="s">
        <v>145</v>
      </c>
      <c r="I685" s="57" t="s">
        <v>124</v>
      </c>
      <c r="J685" s="15">
        <v>8500</v>
      </c>
      <c r="K685" s="15">
        <v>600</v>
      </c>
      <c r="L685" s="15">
        <f t="shared" ref="L685" si="145">ROUND(J685*K685,0)</f>
        <v>5100000</v>
      </c>
      <c r="M685" s="15"/>
      <c r="N685" s="15">
        <f t="shared" ref="N685" si="146">ROUND(J685*M685,0)</f>
        <v>0</v>
      </c>
      <c r="O685" s="15" t="str">
        <f>IF(AND(A685='BANG KE NL'!$M$11,TH!C685="NL",LEFT(D685,1)="N"),"x","")</f>
        <v/>
      </c>
    </row>
    <row r="686" spans="1:15" hidden="1">
      <c r="A686" s="24">
        <f t="shared" si="138"/>
        <v>6</v>
      </c>
      <c r="B686" s="176" t="str">
        <f>IF(AND(MONTH(E686)='IN-NX'!$J$5,'IN-NX'!$D$7=(D686&amp;"/"&amp;C686)),"x","")</f>
        <v/>
      </c>
      <c r="C686" s="173" t="s">
        <v>224</v>
      </c>
      <c r="D686" s="173" t="s">
        <v>220</v>
      </c>
      <c r="E686" s="70">
        <v>42157</v>
      </c>
      <c r="F686" s="62" t="s">
        <v>39</v>
      </c>
      <c r="G686" s="19" t="s">
        <v>229</v>
      </c>
      <c r="H686" s="200" t="s">
        <v>97</v>
      </c>
      <c r="I686" s="57" t="s">
        <v>145</v>
      </c>
      <c r="J686" s="15">
        <v>31000</v>
      </c>
      <c r="K686" s="15"/>
      <c r="L686" s="15">
        <f t="shared" si="136"/>
        <v>0</v>
      </c>
      <c r="M686" s="15">
        <v>200</v>
      </c>
      <c r="N686" s="15">
        <f t="shared" si="137"/>
        <v>6200000</v>
      </c>
      <c r="O686" s="15" t="str">
        <f>IF(AND(A686='BANG KE NL'!$M$11,TH!C686="NL",LEFT(D686,1)="N"),"x","")</f>
        <v/>
      </c>
    </row>
    <row r="687" spans="1:15" hidden="1">
      <c r="A687" s="24">
        <f t="shared" si="138"/>
        <v>6</v>
      </c>
      <c r="B687" s="176" t="str">
        <f>IF(AND(MONTH(E687)='IN-NX'!$J$5,'IN-NX'!$D$7=(D687&amp;"/"&amp;C687)),"x","")</f>
        <v/>
      </c>
      <c r="C687" s="173" t="s">
        <v>224</v>
      </c>
      <c r="D687" s="173" t="s">
        <v>220</v>
      </c>
      <c r="E687" s="70">
        <v>42157</v>
      </c>
      <c r="F687" s="62" t="s">
        <v>49</v>
      </c>
      <c r="G687" s="19" t="s">
        <v>229</v>
      </c>
      <c r="H687" s="200" t="s">
        <v>97</v>
      </c>
      <c r="I687" s="57" t="s">
        <v>145</v>
      </c>
      <c r="J687" s="15">
        <v>46741.2</v>
      </c>
      <c r="K687" s="15"/>
      <c r="L687" s="15">
        <f t="shared" si="136"/>
        <v>0</v>
      </c>
      <c r="M687" s="15">
        <v>125</v>
      </c>
      <c r="N687" s="15">
        <f t="shared" si="137"/>
        <v>5842650</v>
      </c>
      <c r="O687" s="15" t="str">
        <f>IF(AND(A687='BANG KE NL'!$M$11,TH!C687="NL",LEFT(D687,1)="N"),"x","")</f>
        <v/>
      </c>
    </row>
    <row r="688" spans="1:15" hidden="1">
      <c r="A688" s="24">
        <f t="shared" si="138"/>
        <v>6</v>
      </c>
      <c r="B688" s="176" t="str">
        <f>IF(AND(MONTH(E688)='IN-NX'!$J$5,'IN-NX'!$D$7=(D688&amp;"/"&amp;C688)),"x","")</f>
        <v/>
      </c>
      <c r="C688" s="173" t="s">
        <v>224</v>
      </c>
      <c r="D688" s="173" t="s">
        <v>220</v>
      </c>
      <c r="E688" s="70">
        <v>42157</v>
      </c>
      <c r="F688" s="62" t="s">
        <v>40</v>
      </c>
      <c r="G688" s="19" t="s">
        <v>229</v>
      </c>
      <c r="H688" s="200" t="s">
        <v>97</v>
      </c>
      <c r="I688" s="57" t="s">
        <v>145</v>
      </c>
      <c r="J688" s="15">
        <v>11666.666999999999</v>
      </c>
      <c r="K688" s="15"/>
      <c r="L688" s="15">
        <f t="shared" si="136"/>
        <v>0</v>
      </c>
      <c r="M688" s="15">
        <v>200</v>
      </c>
      <c r="N688" s="15">
        <f t="shared" si="137"/>
        <v>2333333</v>
      </c>
      <c r="O688" s="15" t="str">
        <f>IF(AND(A688='BANG KE NL'!$M$11,TH!C688="NL",LEFT(D688,1)="N"),"x","")</f>
        <v/>
      </c>
    </row>
    <row r="689" spans="1:15" hidden="1">
      <c r="A689" s="24">
        <f t="shared" si="138"/>
        <v>6</v>
      </c>
      <c r="B689" s="176" t="str">
        <f>IF(AND(MONTH(E689)='IN-NX'!$J$5,'IN-NX'!$D$7=(D689&amp;"/"&amp;C689)),"x","")</f>
        <v/>
      </c>
      <c r="C689" s="173" t="s">
        <v>224</v>
      </c>
      <c r="D689" s="173" t="s">
        <v>221</v>
      </c>
      <c r="E689" s="70">
        <v>42162</v>
      </c>
      <c r="F689" s="62" t="s">
        <v>66</v>
      </c>
      <c r="G689" s="19" t="s">
        <v>229</v>
      </c>
      <c r="H689" s="200" t="s">
        <v>97</v>
      </c>
      <c r="I689" s="57" t="s">
        <v>145</v>
      </c>
      <c r="J689" s="15">
        <v>21131.31</v>
      </c>
      <c r="K689" s="15"/>
      <c r="L689" s="15">
        <f t="shared" si="136"/>
        <v>0</v>
      </c>
      <c r="M689" s="15">
        <v>100</v>
      </c>
      <c r="N689" s="15">
        <f t="shared" si="137"/>
        <v>2113131</v>
      </c>
      <c r="O689" s="15" t="str">
        <f>IF(AND(A689='BANG KE NL'!$M$11,TH!C689="NL",LEFT(D689,1)="N"),"x","")</f>
        <v/>
      </c>
    </row>
    <row r="690" spans="1:15" hidden="1">
      <c r="A690" s="24">
        <f t="shared" si="138"/>
        <v>6</v>
      </c>
      <c r="B690" s="176" t="str">
        <f>IF(AND(MONTH(E690)='IN-NX'!$J$5,'IN-NX'!$D$7=(D690&amp;"/"&amp;C690)),"x","")</f>
        <v/>
      </c>
      <c r="C690" s="173" t="s">
        <v>224</v>
      </c>
      <c r="D690" s="173" t="s">
        <v>221</v>
      </c>
      <c r="E690" s="70">
        <v>42162</v>
      </c>
      <c r="F690" s="62" t="s">
        <v>41</v>
      </c>
      <c r="G690" s="19" t="s">
        <v>229</v>
      </c>
      <c r="H690" s="200" t="s">
        <v>97</v>
      </c>
      <c r="I690" s="57" t="s">
        <v>145</v>
      </c>
      <c r="J690" s="15">
        <v>3500</v>
      </c>
      <c r="K690" s="15"/>
      <c r="L690" s="15">
        <f t="shared" si="136"/>
        <v>0</v>
      </c>
      <c r="M690" s="15">
        <v>250</v>
      </c>
      <c r="N690" s="15">
        <f t="shared" si="137"/>
        <v>875000</v>
      </c>
      <c r="O690" s="15" t="str">
        <f>IF(AND(A690='BANG KE NL'!$M$11,TH!C690="NL",LEFT(D690,1)="N"),"x","")</f>
        <v/>
      </c>
    </row>
    <row r="691" spans="1:15" hidden="1">
      <c r="A691" s="24">
        <f t="shared" si="138"/>
        <v>6</v>
      </c>
      <c r="B691" s="176" t="str">
        <f>IF(AND(MONTH(E691)='IN-NX'!$J$5,'IN-NX'!$D$7=(D691&amp;"/"&amp;C691)),"x","")</f>
        <v/>
      </c>
      <c r="C691" s="173" t="s">
        <v>224</v>
      </c>
      <c r="D691" s="173" t="s">
        <v>221</v>
      </c>
      <c r="E691" s="70">
        <v>42162</v>
      </c>
      <c r="F691" s="62" t="s">
        <v>108</v>
      </c>
      <c r="G691" s="19" t="s">
        <v>229</v>
      </c>
      <c r="H691" s="200" t="s">
        <v>97</v>
      </c>
      <c r="I691" s="57" t="s">
        <v>145</v>
      </c>
      <c r="J691" s="15">
        <v>3000</v>
      </c>
      <c r="K691" s="15"/>
      <c r="L691" s="15">
        <f t="shared" si="136"/>
        <v>0</v>
      </c>
      <c r="M691" s="15">
        <v>450</v>
      </c>
      <c r="N691" s="15">
        <f t="shared" si="137"/>
        <v>1350000</v>
      </c>
      <c r="O691" s="15" t="str">
        <f>IF(AND(A691='BANG KE NL'!$M$11,TH!C691="NL",LEFT(D691,1)="N"),"x","")</f>
        <v/>
      </c>
    </row>
    <row r="692" spans="1:15" hidden="1">
      <c r="A692" s="24">
        <f t="shared" si="138"/>
        <v>6</v>
      </c>
      <c r="B692" s="176" t="str">
        <f>IF(AND(MONTH(E692)='IN-NX'!$J$5,'IN-NX'!$D$7=(D692&amp;"/"&amp;C692)),"x","")</f>
        <v/>
      </c>
      <c r="C692" s="173" t="s">
        <v>224</v>
      </c>
      <c r="D692" s="173" t="s">
        <v>221</v>
      </c>
      <c r="E692" s="70">
        <v>42162</v>
      </c>
      <c r="F692" s="62" t="s">
        <v>109</v>
      </c>
      <c r="G692" s="19" t="s">
        <v>229</v>
      </c>
      <c r="H692" s="200" t="s">
        <v>97</v>
      </c>
      <c r="I692" s="57" t="s">
        <v>145</v>
      </c>
      <c r="J692" s="15">
        <v>5500</v>
      </c>
      <c r="K692" s="15"/>
      <c r="L692" s="15">
        <f t="shared" si="136"/>
        <v>0</v>
      </c>
      <c r="M692" s="15">
        <v>190</v>
      </c>
      <c r="N692" s="15">
        <f t="shared" si="137"/>
        <v>1045000</v>
      </c>
      <c r="O692" s="15" t="str">
        <f>IF(AND(A692='BANG KE NL'!$M$11,TH!C692="NL",LEFT(D692,1)="N"),"x","")</f>
        <v/>
      </c>
    </row>
    <row r="693" spans="1:15" hidden="1">
      <c r="A693" s="24">
        <f t="shared" si="138"/>
        <v>6</v>
      </c>
      <c r="B693" s="176" t="str">
        <f>IF(AND(MONTH(E693)='IN-NX'!$J$5,'IN-NX'!$D$7=(D693&amp;"/"&amp;C693)),"x","")</f>
        <v/>
      </c>
      <c r="C693" s="173" t="s">
        <v>224</v>
      </c>
      <c r="D693" s="173" t="s">
        <v>220</v>
      </c>
      <c r="E693" s="70">
        <v>42157</v>
      </c>
      <c r="F693" s="62" t="s">
        <v>110</v>
      </c>
      <c r="G693" s="19" t="s">
        <v>229</v>
      </c>
      <c r="H693" s="200" t="s">
        <v>97</v>
      </c>
      <c r="I693" s="57" t="s">
        <v>145</v>
      </c>
      <c r="J693" s="15">
        <v>8465.3438901077934</v>
      </c>
      <c r="K693" s="15"/>
      <c r="L693" s="15">
        <f t="shared" si="136"/>
        <v>0</v>
      </c>
      <c r="M693" s="15">
        <v>2500</v>
      </c>
      <c r="N693" s="15">
        <f t="shared" si="137"/>
        <v>21163360</v>
      </c>
      <c r="O693" s="15" t="str">
        <f>IF(AND(A693='BANG KE NL'!$M$11,TH!C693="NL",LEFT(D693,1)="N"),"x","")</f>
        <v/>
      </c>
    </row>
    <row r="694" spans="1:15" hidden="1">
      <c r="A694" s="24">
        <f t="shared" si="138"/>
        <v>6</v>
      </c>
      <c r="B694" s="176" t="str">
        <f>IF(AND(MONTH(E694)='IN-NX'!$J$5,'IN-NX'!$D$7=(D694&amp;"/"&amp;C694)),"x","")</f>
        <v/>
      </c>
      <c r="C694" s="173" t="s">
        <v>224</v>
      </c>
      <c r="D694" s="173" t="s">
        <v>222</v>
      </c>
      <c r="E694" s="70">
        <v>42169</v>
      </c>
      <c r="F694" s="62" t="s">
        <v>38</v>
      </c>
      <c r="G694" s="19" t="s">
        <v>229</v>
      </c>
      <c r="H694" s="200" t="s">
        <v>97</v>
      </c>
      <c r="I694" s="57" t="s">
        <v>145</v>
      </c>
      <c r="J694" s="15">
        <v>8500</v>
      </c>
      <c r="K694" s="15"/>
      <c r="L694" s="15">
        <f t="shared" si="136"/>
        <v>0</v>
      </c>
      <c r="M694" s="15">
        <v>300</v>
      </c>
      <c r="N694" s="15">
        <f t="shared" si="137"/>
        <v>2550000</v>
      </c>
      <c r="O694" s="15" t="str">
        <f>IF(AND(A694='BANG KE NL'!$M$11,TH!C694="NL",LEFT(D694,1)="N"),"x","")</f>
        <v/>
      </c>
    </row>
    <row r="695" spans="1:15" hidden="1">
      <c r="A695" s="24">
        <f t="shared" si="138"/>
        <v>6</v>
      </c>
      <c r="B695" s="176" t="str">
        <f>IF(AND(MONTH(E695)='IN-NX'!$J$5,'IN-NX'!$D$7=(D695&amp;"/"&amp;C695)),"x","")</f>
        <v/>
      </c>
      <c r="C695" s="173" t="s">
        <v>224</v>
      </c>
      <c r="D695" s="173" t="s">
        <v>222</v>
      </c>
      <c r="E695" s="70">
        <v>42169</v>
      </c>
      <c r="F695" s="62" t="s">
        <v>58</v>
      </c>
      <c r="G695" s="19" t="s">
        <v>229</v>
      </c>
      <c r="H695" s="200" t="s">
        <v>97</v>
      </c>
      <c r="I695" s="57" t="s">
        <v>145</v>
      </c>
      <c r="J695" s="15">
        <v>34000</v>
      </c>
      <c r="K695" s="15"/>
      <c r="L695" s="15">
        <f t="shared" ref="L695" si="147">ROUND(J695*K695,0)</f>
        <v>0</v>
      </c>
      <c r="M695" s="15">
        <v>250</v>
      </c>
      <c r="N695" s="15">
        <f t="shared" ref="N695" si="148">ROUND(J695*M695,0)</f>
        <v>8500000</v>
      </c>
      <c r="O695" s="15" t="str">
        <f>IF(AND(A695='BANG KE NL'!$M$11,TH!C695="NL",LEFT(D695,1)="N"),"x","")</f>
        <v/>
      </c>
    </row>
    <row r="696" spans="1:15" hidden="1">
      <c r="A696" s="24">
        <f t="shared" si="138"/>
        <v>6</v>
      </c>
      <c r="B696" s="176" t="str">
        <f>IF(AND(MONTH(E696)='IN-NX'!$J$5,'IN-NX'!$D$7=(D696&amp;"/"&amp;C696)),"x","")</f>
        <v/>
      </c>
      <c r="C696" s="173" t="s">
        <v>224</v>
      </c>
      <c r="D696" s="173" t="s">
        <v>222</v>
      </c>
      <c r="E696" s="70">
        <v>42169</v>
      </c>
      <c r="F696" s="62" t="s">
        <v>123</v>
      </c>
      <c r="G696" s="19" t="s">
        <v>229</v>
      </c>
      <c r="H696" s="200" t="s">
        <v>97</v>
      </c>
      <c r="I696" s="57" t="s">
        <v>145</v>
      </c>
      <c r="J696" s="15">
        <v>35714</v>
      </c>
      <c r="K696" s="15"/>
      <c r="L696" s="15">
        <f t="shared" ref="L696" si="149">ROUND(J696*K696,0)</f>
        <v>0</v>
      </c>
      <c r="M696" s="15">
        <v>190</v>
      </c>
      <c r="N696" s="15">
        <f t="shared" ref="N696" si="150">ROUND(J696*M696,0)</f>
        <v>6785660</v>
      </c>
      <c r="O696" s="15" t="str">
        <f>IF(AND(A696='BANG KE NL'!$M$11,TH!C696="NL",LEFT(D696,1)="N"),"x","")</f>
        <v/>
      </c>
    </row>
    <row r="697" spans="1:15" hidden="1">
      <c r="A697" s="24">
        <f t="shared" si="138"/>
        <v>6</v>
      </c>
      <c r="B697" s="176" t="str">
        <f>IF(AND(MONTH(E697)='IN-NX'!$J$5,'IN-NX'!$D$7=(D697&amp;"/"&amp;C697)),"x","")</f>
        <v/>
      </c>
      <c r="C697" s="173" t="s">
        <v>224</v>
      </c>
      <c r="D697" s="173" t="s">
        <v>222</v>
      </c>
      <c r="E697" s="70">
        <v>42169</v>
      </c>
      <c r="F697" s="62" t="s">
        <v>54</v>
      </c>
      <c r="G697" s="19" t="s">
        <v>229</v>
      </c>
      <c r="H697" s="200" t="s">
        <v>97</v>
      </c>
      <c r="I697" s="57" t="s">
        <v>145</v>
      </c>
      <c r="J697" s="15">
        <v>323.05080427144196</v>
      </c>
      <c r="K697" s="15"/>
      <c r="L697" s="15">
        <f t="shared" ref="L697" si="151">ROUND(J697*K697,0)</f>
        <v>0</v>
      </c>
      <c r="M697" s="15">
        <v>5000</v>
      </c>
      <c r="N697" s="15">
        <f t="shared" ref="N697" si="152">ROUND(J697*M697,0)</f>
        <v>1615254</v>
      </c>
      <c r="O697" s="15" t="str">
        <f>IF(AND(A697='BANG KE NL'!$M$11,TH!C697="NL",LEFT(D697,1)="N"),"x","")</f>
        <v/>
      </c>
    </row>
    <row r="698" spans="1:15" hidden="1">
      <c r="A698" s="24">
        <f t="shared" si="138"/>
        <v>6</v>
      </c>
      <c r="B698" s="176" t="str">
        <f>IF(AND(MONTH(E698)='IN-NX'!$J$5,'IN-NX'!$D$7=(D698&amp;"/"&amp;C698)),"x","")</f>
        <v/>
      </c>
      <c r="C698" s="173" t="s">
        <v>224</v>
      </c>
      <c r="D698" s="173" t="s">
        <v>220</v>
      </c>
      <c r="E698" s="70">
        <v>42157</v>
      </c>
      <c r="F698" s="62" t="s">
        <v>107</v>
      </c>
      <c r="G698" s="19" t="s">
        <v>229</v>
      </c>
      <c r="H698" s="200" t="s">
        <v>97</v>
      </c>
      <c r="I698" s="57" t="s">
        <v>145</v>
      </c>
      <c r="J698" s="15">
        <v>15000</v>
      </c>
      <c r="K698" s="15"/>
      <c r="L698" s="15">
        <f t="shared" ref="L698" si="153">ROUND(J698*K698,0)</f>
        <v>0</v>
      </c>
      <c r="M698" s="15">
        <v>200</v>
      </c>
      <c r="N698" s="15">
        <f t="shared" ref="N698" si="154">ROUND(J698*M698,0)</f>
        <v>3000000</v>
      </c>
      <c r="O698" s="15" t="str">
        <f>IF(AND(A698='BANG KE NL'!$M$11,TH!C698="NL",LEFT(D698,1)="N"),"x","")</f>
        <v/>
      </c>
    </row>
    <row r="699" spans="1:15" hidden="1">
      <c r="A699" s="24">
        <f t="shared" si="138"/>
        <v>6</v>
      </c>
      <c r="B699" s="176" t="str">
        <f>IF(AND(MONTH(E699)='IN-NX'!$J$5,'IN-NX'!$D$7=(D699&amp;"/"&amp;C699)),"x","")</f>
        <v/>
      </c>
      <c r="C699" s="173" t="s">
        <v>224</v>
      </c>
      <c r="D699" s="173" t="s">
        <v>223</v>
      </c>
      <c r="E699" s="70">
        <v>42170</v>
      </c>
      <c r="F699" s="62" t="s">
        <v>101</v>
      </c>
      <c r="G699" s="19" t="s">
        <v>229</v>
      </c>
      <c r="H699" s="200" t="s">
        <v>97</v>
      </c>
      <c r="I699" s="57" t="s">
        <v>145</v>
      </c>
      <c r="J699" s="15">
        <v>17000</v>
      </c>
      <c r="K699" s="15"/>
      <c r="L699" s="15">
        <f t="shared" si="136"/>
        <v>0</v>
      </c>
      <c r="M699" s="15">
        <v>720</v>
      </c>
      <c r="N699" s="15">
        <f t="shared" si="137"/>
        <v>12240000</v>
      </c>
      <c r="O699" s="15" t="str">
        <f>IF(AND(A699='BANG KE NL'!$M$11,TH!C699="NL",LEFT(D699,1)="N"),"x","")</f>
        <v/>
      </c>
    </row>
    <row r="700" spans="1:15" hidden="1">
      <c r="A700" s="24">
        <f t="shared" si="138"/>
        <v>6</v>
      </c>
      <c r="B700" s="176" t="str">
        <f>IF(AND(MONTH(E700)='IN-NX'!$J$5,'IN-NX'!$D$7=(D700&amp;"/"&amp;C700)),"x","")</f>
        <v/>
      </c>
      <c r="C700" s="173" t="s">
        <v>224</v>
      </c>
      <c r="D700" s="173" t="s">
        <v>230</v>
      </c>
      <c r="E700" s="70">
        <v>42172</v>
      </c>
      <c r="F700" s="62" t="s">
        <v>100</v>
      </c>
      <c r="G700" s="19" t="s">
        <v>229</v>
      </c>
      <c r="H700" s="200" t="s">
        <v>97</v>
      </c>
      <c r="I700" s="57" t="s">
        <v>145</v>
      </c>
      <c r="J700" s="15">
        <v>20000</v>
      </c>
      <c r="K700" s="15"/>
      <c r="L700" s="15">
        <f t="shared" si="136"/>
        <v>0</v>
      </c>
      <c r="M700" s="15">
        <v>160</v>
      </c>
      <c r="N700" s="15">
        <f t="shared" si="137"/>
        <v>3200000</v>
      </c>
      <c r="O700" s="15" t="str">
        <f>IF(AND(A700='BANG KE NL'!$M$11,TH!C700="NL",LEFT(D700,1)="N"),"x","")</f>
        <v/>
      </c>
    </row>
    <row r="701" spans="1:15" hidden="1">
      <c r="A701" s="24">
        <f t="shared" si="138"/>
        <v>6</v>
      </c>
      <c r="B701" s="176" t="str">
        <f>IF(AND(MONTH(E701)='IN-NX'!$J$5,'IN-NX'!$D$7=(D701&amp;"/"&amp;C701)),"x","")</f>
        <v/>
      </c>
      <c r="C701" s="173" t="s">
        <v>224</v>
      </c>
      <c r="D701" s="173" t="s">
        <v>268</v>
      </c>
      <c r="E701" s="70">
        <v>42174</v>
      </c>
      <c r="F701" s="62" t="s">
        <v>276</v>
      </c>
      <c r="G701" s="19" t="s">
        <v>229</v>
      </c>
      <c r="H701" s="200" t="s">
        <v>97</v>
      </c>
      <c r="I701" s="57" t="s">
        <v>145</v>
      </c>
      <c r="J701" s="15">
        <v>12000</v>
      </c>
      <c r="K701" s="15"/>
      <c r="L701" s="15">
        <f t="shared" si="136"/>
        <v>0</v>
      </c>
      <c r="M701" s="15">
        <v>625</v>
      </c>
      <c r="N701" s="15">
        <f t="shared" si="137"/>
        <v>7500000</v>
      </c>
      <c r="O701" s="15" t="str">
        <f>IF(AND(A701='BANG KE NL'!$M$11,TH!C701="NL",LEFT(D701,1)="N"),"x","")</f>
        <v/>
      </c>
    </row>
    <row r="702" spans="1:15" hidden="1">
      <c r="A702" s="24">
        <f t="shared" si="138"/>
        <v>6</v>
      </c>
      <c r="B702" s="176" t="str">
        <f>IF(AND(MONTH(E702)='IN-NX'!$J$5,'IN-NX'!$D$7=(D702&amp;"/"&amp;C702)),"x","")</f>
        <v/>
      </c>
      <c r="C702" s="173" t="s">
        <v>224</v>
      </c>
      <c r="D702" s="173" t="s">
        <v>268</v>
      </c>
      <c r="E702" s="70">
        <v>42174</v>
      </c>
      <c r="F702" s="62" t="s">
        <v>276</v>
      </c>
      <c r="G702" s="19" t="s">
        <v>229</v>
      </c>
      <c r="H702" s="200" t="s">
        <v>97</v>
      </c>
      <c r="I702" s="57" t="s">
        <v>145</v>
      </c>
      <c r="J702" s="15">
        <v>14200</v>
      </c>
      <c r="K702" s="15"/>
      <c r="L702" s="15">
        <f t="shared" si="136"/>
        <v>0</v>
      </c>
      <c r="M702" s="15">
        <v>1300</v>
      </c>
      <c r="N702" s="15">
        <f t="shared" si="137"/>
        <v>18460000</v>
      </c>
      <c r="O702" s="15" t="str">
        <f>IF(AND(A702='BANG KE NL'!$M$11,TH!C702="NL",LEFT(D702,1)="N"),"x","")</f>
        <v/>
      </c>
    </row>
    <row r="703" spans="1:15" hidden="1">
      <c r="A703" s="24">
        <f t="shared" si="138"/>
        <v>6</v>
      </c>
      <c r="B703" s="176" t="str">
        <f>IF(AND(MONTH(E703)='IN-NX'!$J$5,'IN-NX'!$D$7=(D703&amp;"/"&amp;C703)),"x","")</f>
        <v/>
      </c>
      <c r="C703" s="173" t="s">
        <v>224</v>
      </c>
      <c r="D703" s="173" t="s">
        <v>269</v>
      </c>
      <c r="E703" s="70">
        <v>42180</v>
      </c>
      <c r="F703" s="62" t="s">
        <v>101</v>
      </c>
      <c r="G703" s="19" t="s">
        <v>229</v>
      </c>
      <c r="H703" s="200" t="s">
        <v>97</v>
      </c>
      <c r="I703" s="57" t="s">
        <v>145</v>
      </c>
      <c r="J703" s="15">
        <v>17000</v>
      </c>
      <c r="K703" s="15"/>
      <c r="L703" s="15">
        <f t="shared" si="136"/>
        <v>0</v>
      </c>
      <c r="M703" s="15">
        <v>610</v>
      </c>
      <c r="N703" s="15">
        <f t="shared" si="137"/>
        <v>10370000</v>
      </c>
      <c r="O703" s="15" t="str">
        <f>IF(AND(A703='BANG KE NL'!$M$11,TH!C703="NL",LEFT(D703,1)="N"),"x","")</f>
        <v/>
      </c>
    </row>
    <row r="704" spans="1:15" hidden="1">
      <c r="A704" s="24">
        <f t="shared" si="138"/>
        <v>7</v>
      </c>
      <c r="B704" s="176" t="str">
        <f>IF(AND(MONTH(E704)='IN-NX'!$J$5,'IN-NX'!$D$7=(D704&amp;"/"&amp;C704)),"x","")</f>
        <v/>
      </c>
      <c r="C704" s="173" t="s">
        <v>224</v>
      </c>
      <c r="D704" s="173" t="s">
        <v>214</v>
      </c>
      <c r="E704" s="70">
        <v>42205</v>
      </c>
      <c r="F704" s="62" t="s">
        <v>276</v>
      </c>
      <c r="G704" s="19" t="s">
        <v>151</v>
      </c>
      <c r="H704" s="200" t="s">
        <v>145</v>
      </c>
      <c r="I704" s="57" t="s">
        <v>124</v>
      </c>
      <c r="J704" s="15">
        <v>12000</v>
      </c>
      <c r="K704" s="15">
        <v>500</v>
      </c>
      <c r="L704" s="15">
        <f t="shared" ref="L704" si="155">ROUND(J704*K704,0)</f>
        <v>6000000</v>
      </c>
      <c r="M704" s="15"/>
      <c r="N704" s="15">
        <f t="shared" ref="N704" si="156">ROUND(J704*M704,0)</f>
        <v>0</v>
      </c>
      <c r="O704" s="15" t="str">
        <f>IF(AND(A704='BANG KE NL'!$M$11,TH!C704="NL",LEFT(D704,1)="N"),"x","")</f>
        <v/>
      </c>
    </row>
    <row r="705" spans="1:15" hidden="1">
      <c r="A705" s="24">
        <f t="shared" si="138"/>
        <v>7</v>
      </c>
      <c r="B705" s="176" t="str">
        <f>IF(AND(MONTH(E705)='IN-NX'!$J$5,'IN-NX'!$D$7=(D705&amp;"/"&amp;C705)),"x","")</f>
        <v/>
      </c>
      <c r="C705" s="173" t="s">
        <v>224</v>
      </c>
      <c r="D705" s="173" t="s">
        <v>214</v>
      </c>
      <c r="E705" s="70">
        <v>42205</v>
      </c>
      <c r="F705" s="62" t="s">
        <v>101</v>
      </c>
      <c r="G705" s="19" t="s">
        <v>151</v>
      </c>
      <c r="H705" s="200" t="s">
        <v>145</v>
      </c>
      <c r="I705" s="57" t="s">
        <v>124</v>
      </c>
      <c r="J705" s="15">
        <v>17000</v>
      </c>
      <c r="K705" s="15">
        <v>260</v>
      </c>
      <c r="L705" s="15">
        <f t="shared" ref="L705:L706" si="157">ROUND(J705*K705,0)</f>
        <v>4420000</v>
      </c>
      <c r="M705" s="15"/>
      <c r="N705" s="15">
        <f t="shared" ref="N705:N706" si="158">ROUND(J705*M705,0)</f>
        <v>0</v>
      </c>
      <c r="O705" s="15" t="str">
        <f>IF(AND(A705='BANG KE NL'!$M$11,TH!C705="NL",LEFT(D705,1)="N"),"x","")</f>
        <v/>
      </c>
    </row>
    <row r="706" spans="1:15" hidden="1">
      <c r="A706" s="24">
        <f t="shared" si="138"/>
        <v>7</v>
      </c>
      <c r="B706" s="176" t="str">
        <f>IF(AND(MONTH(E706)='IN-NX'!$J$5,'IN-NX'!$D$7=(D706&amp;"/"&amp;C706)),"x","")</f>
        <v/>
      </c>
      <c r="C706" s="173" t="s">
        <v>224</v>
      </c>
      <c r="D706" s="173" t="s">
        <v>214</v>
      </c>
      <c r="E706" s="70">
        <v>42205</v>
      </c>
      <c r="F706" s="62" t="s">
        <v>380</v>
      </c>
      <c r="G706" s="19" t="s">
        <v>151</v>
      </c>
      <c r="H706" s="200" t="s">
        <v>145</v>
      </c>
      <c r="I706" s="57" t="s">
        <v>124</v>
      </c>
      <c r="J706" s="15">
        <v>2500</v>
      </c>
      <c r="K706" s="15">
        <v>260</v>
      </c>
      <c r="L706" s="15">
        <f t="shared" si="157"/>
        <v>650000</v>
      </c>
      <c r="M706" s="15"/>
      <c r="N706" s="15">
        <f t="shared" si="158"/>
        <v>0</v>
      </c>
      <c r="O706" s="15" t="str">
        <f>IF(AND(A706='BANG KE NL'!$M$11,TH!C706="NL",LEFT(D706,1)="N"),"x","")</f>
        <v/>
      </c>
    </row>
    <row r="707" spans="1:15" hidden="1">
      <c r="A707" s="24">
        <f t="shared" si="138"/>
        <v>7</v>
      </c>
      <c r="B707" s="176" t="str">
        <f>IF(AND(MONTH(E707)='IN-NX'!$J$5,'IN-NX'!$D$7=(D707&amp;"/"&amp;C707)),"x","")</f>
        <v/>
      </c>
      <c r="C707" s="173" t="s">
        <v>224</v>
      </c>
      <c r="D707" s="173" t="s">
        <v>215</v>
      </c>
      <c r="E707" s="70">
        <v>42215</v>
      </c>
      <c r="F707" s="62" t="s">
        <v>390</v>
      </c>
      <c r="G707" s="19" t="s">
        <v>151</v>
      </c>
      <c r="H707" s="200" t="s">
        <v>145</v>
      </c>
      <c r="I707" s="57" t="s">
        <v>124</v>
      </c>
      <c r="J707" s="15">
        <v>14500</v>
      </c>
      <c r="K707" s="15">
        <v>750</v>
      </c>
      <c r="L707" s="15">
        <f t="shared" ref="L707:L710" si="159">ROUND(J707*K707,0)</f>
        <v>10875000</v>
      </c>
      <c r="M707" s="15"/>
      <c r="N707" s="15">
        <f t="shared" ref="N707:N710" si="160">ROUND(J707*M707,0)</f>
        <v>0</v>
      </c>
      <c r="O707" s="15" t="str">
        <f>IF(AND(A707='BANG KE NL'!$M$11,TH!C707="NL",LEFT(D707,1)="N"),"x","")</f>
        <v/>
      </c>
    </row>
    <row r="708" spans="1:15" hidden="1">
      <c r="A708" s="24">
        <f t="shared" si="138"/>
        <v>7</v>
      </c>
      <c r="B708" s="176" t="str">
        <f>IF(AND(MONTH(E708)='IN-NX'!$J$5,'IN-NX'!$D$7=(D708&amp;"/"&amp;C708)),"x","")</f>
        <v/>
      </c>
      <c r="C708" s="173" t="s">
        <v>224</v>
      </c>
      <c r="D708" s="173" t="s">
        <v>215</v>
      </c>
      <c r="E708" s="70">
        <v>42215</v>
      </c>
      <c r="F708" s="62" t="s">
        <v>276</v>
      </c>
      <c r="G708" s="19" t="s">
        <v>151</v>
      </c>
      <c r="H708" s="200" t="s">
        <v>145</v>
      </c>
      <c r="I708" s="57" t="s">
        <v>124</v>
      </c>
      <c r="J708" s="15">
        <v>14200</v>
      </c>
      <c r="K708" s="15">
        <v>550</v>
      </c>
      <c r="L708" s="15">
        <f t="shared" si="159"/>
        <v>7810000</v>
      </c>
      <c r="M708" s="15"/>
      <c r="N708" s="15">
        <f t="shared" si="160"/>
        <v>0</v>
      </c>
      <c r="O708" s="15" t="str">
        <f>IF(AND(A708='BANG KE NL'!$M$11,TH!C708="NL",LEFT(D708,1)="N"),"x","")</f>
        <v/>
      </c>
    </row>
    <row r="709" spans="1:15" hidden="1">
      <c r="A709" s="24">
        <f t="shared" si="138"/>
        <v>7</v>
      </c>
      <c r="B709" s="176" t="str">
        <f>IF(AND(MONTH(E709)='IN-NX'!$J$5,'IN-NX'!$D$7=(D709&amp;"/"&amp;C709)),"x","")</f>
        <v/>
      </c>
      <c r="C709" s="173" t="s">
        <v>224</v>
      </c>
      <c r="D709" s="173" t="s">
        <v>215</v>
      </c>
      <c r="E709" s="70">
        <v>42215</v>
      </c>
      <c r="F709" s="62" t="s">
        <v>101</v>
      </c>
      <c r="G709" s="19" t="s">
        <v>151</v>
      </c>
      <c r="H709" s="200" t="s">
        <v>145</v>
      </c>
      <c r="I709" s="57" t="s">
        <v>124</v>
      </c>
      <c r="J709" s="15">
        <v>17000</v>
      </c>
      <c r="K709" s="15">
        <v>1000</v>
      </c>
      <c r="L709" s="15">
        <f t="shared" si="159"/>
        <v>17000000</v>
      </c>
      <c r="M709" s="15"/>
      <c r="N709" s="15">
        <f t="shared" si="160"/>
        <v>0</v>
      </c>
      <c r="O709" s="15" t="str">
        <f>IF(AND(A709='BANG KE NL'!$M$11,TH!C709="NL",LEFT(D709,1)="N"),"x","")</f>
        <v/>
      </c>
    </row>
    <row r="710" spans="1:15" hidden="1">
      <c r="A710" s="24">
        <f t="shared" si="138"/>
        <v>7</v>
      </c>
      <c r="B710" s="176" t="str">
        <f>IF(AND(MONTH(E710)='IN-NX'!$J$5,'IN-NX'!$D$7=(D710&amp;"/"&amp;C710)),"x","")</f>
        <v/>
      </c>
      <c r="C710" s="173" t="s">
        <v>224</v>
      </c>
      <c r="D710" s="173" t="s">
        <v>215</v>
      </c>
      <c r="E710" s="70">
        <v>42215</v>
      </c>
      <c r="F710" s="62" t="s">
        <v>380</v>
      </c>
      <c r="G710" s="19" t="s">
        <v>151</v>
      </c>
      <c r="H710" s="200" t="s">
        <v>145</v>
      </c>
      <c r="I710" s="57" t="s">
        <v>124</v>
      </c>
      <c r="J710" s="15">
        <v>2500</v>
      </c>
      <c r="K710" s="15">
        <v>1000</v>
      </c>
      <c r="L710" s="15">
        <f t="shared" si="159"/>
        <v>2500000</v>
      </c>
      <c r="M710" s="15"/>
      <c r="N710" s="15">
        <f t="shared" si="160"/>
        <v>0</v>
      </c>
      <c r="O710" s="15" t="str">
        <f>IF(AND(A710='BANG KE NL'!$M$11,TH!C710="NL",LEFT(D710,1)="N"),"x","")</f>
        <v/>
      </c>
    </row>
    <row r="711" spans="1:15" hidden="1">
      <c r="A711" s="24">
        <f t="shared" si="138"/>
        <v>7</v>
      </c>
      <c r="B711" s="176" t="str">
        <f>IF(AND(MONTH(E711)='IN-NX'!$J$5,'IN-NX'!$D$7=(D711&amp;"/"&amp;C711)),"x","")</f>
        <v/>
      </c>
      <c r="C711" s="173" t="s">
        <v>224</v>
      </c>
      <c r="D711" s="173" t="s">
        <v>220</v>
      </c>
      <c r="E711" s="70">
        <v>42190</v>
      </c>
      <c r="F711" s="62" t="s">
        <v>39</v>
      </c>
      <c r="G711" s="19" t="s">
        <v>229</v>
      </c>
      <c r="H711" s="200" t="s">
        <v>97</v>
      </c>
      <c r="I711" s="57" t="s">
        <v>145</v>
      </c>
      <c r="J711" s="15">
        <v>31000</v>
      </c>
      <c r="K711" s="15"/>
      <c r="L711" s="15">
        <f t="shared" ref="L711" si="161">ROUND(J711*K711,0)</f>
        <v>0</v>
      </c>
      <c r="M711" s="15">
        <v>200</v>
      </c>
      <c r="N711" s="15">
        <f t="shared" ref="N711" si="162">ROUND(J711*M711,0)</f>
        <v>6200000</v>
      </c>
      <c r="O711" s="15" t="str">
        <f>IF(AND(A711='BANG KE NL'!$M$11,TH!C711="NL",LEFT(D711,1)="N"),"x","")</f>
        <v/>
      </c>
    </row>
    <row r="712" spans="1:15" hidden="1">
      <c r="A712" s="24">
        <f t="shared" si="138"/>
        <v>7</v>
      </c>
      <c r="B712" s="176" t="str">
        <f>IF(AND(MONTH(E712)='IN-NX'!$J$5,'IN-NX'!$D$7=(D712&amp;"/"&amp;C712)),"x","")</f>
        <v/>
      </c>
      <c r="C712" s="173" t="s">
        <v>224</v>
      </c>
      <c r="D712" s="173" t="s">
        <v>220</v>
      </c>
      <c r="E712" s="70">
        <v>42190</v>
      </c>
      <c r="F712" s="62" t="s">
        <v>49</v>
      </c>
      <c r="G712" s="19" t="s">
        <v>229</v>
      </c>
      <c r="H712" s="200" t="s">
        <v>97</v>
      </c>
      <c r="I712" s="57" t="s">
        <v>145</v>
      </c>
      <c r="J712" s="15">
        <v>46741.2</v>
      </c>
      <c r="K712" s="15"/>
      <c r="L712" s="15">
        <f t="shared" ref="L712:L723" si="163">ROUND(J712*K712,0)</f>
        <v>0</v>
      </c>
      <c r="M712" s="15">
        <v>125</v>
      </c>
      <c r="N712" s="15">
        <f t="shared" ref="N712:N723" si="164">ROUND(J712*M712,0)</f>
        <v>5842650</v>
      </c>
      <c r="O712" s="15" t="str">
        <f>IF(AND(A712='BANG KE NL'!$M$11,TH!C712="NL",LEFT(D712,1)="N"),"x","")</f>
        <v/>
      </c>
    </row>
    <row r="713" spans="1:15" hidden="1">
      <c r="A713" s="24">
        <f t="shared" si="138"/>
        <v>7</v>
      </c>
      <c r="B713" s="176" t="str">
        <f>IF(AND(MONTH(E713)='IN-NX'!$J$5,'IN-NX'!$D$7=(D713&amp;"/"&amp;C713)),"x","")</f>
        <v/>
      </c>
      <c r="C713" s="173" t="s">
        <v>224</v>
      </c>
      <c r="D713" s="173" t="s">
        <v>220</v>
      </c>
      <c r="E713" s="70">
        <v>42190</v>
      </c>
      <c r="F713" s="62" t="s">
        <v>40</v>
      </c>
      <c r="G713" s="19" t="s">
        <v>229</v>
      </c>
      <c r="H713" s="200" t="s">
        <v>97</v>
      </c>
      <c r="I713" s="57" t="s">
        <v>145</v>
      </c>
      <c r="J713" s="15">
        <v>11666.666999999999</v>
      </c>
      <c r="K713" s="15"/>
      <c r="L713" s="15">
        <f t="shared" si="163"/>
        <v>0</v>
      </c>
      <c r="M713" s="15">
        <v>200</v>
      </c>
      <c r="N713" s="15">
        <f t="shared" si="164"/>
        <v>2333333</v>
      </c>
      <c r="O713" s="15" t="str">
        <f>IF(AND(A713='BANG KE NL'!$M$11,TH!C713="NL",LEFT(D713,1)="N"),"x","")</f>
        <v/>
      </c>
    </row>
    <row r="714" spans="1:15" hidden="1">
      <c r="A714" s="24">
        <f t="shared" si="138"/>
        <v>7</v>
      </c>
      <c r="B714" s="176" t="str">
        <f>IF(AND(MONTH(E714)='IN-NX'!$J$5,'IN-NX'!$D$7=(D714&amp;"/"&amp;C714)),"x","")</f>
        <v/>
      </c>
      <c r="C714" s="173" t="s">
        <v>224</v>
      </c>
      <c r="D714" s="173" t="s">
        <v>221</v>
      </c>
      <c r="E714" s="70">
        <v>42192</v>
      </c>
      <c r="F714" s="62" t="s">
        <v>66</v>
      </c>
      <c r="G714" s="19" t="s">
        <v>229</v>
      </c>
      <c r="H714" s="200" t="s">
        <v>97</v>
      </c>
      <c r="I714" s="57" t="s">
        <v>145</v>
      </c>
      <c r="J714" s="15">
        <v>21131.31</v>
      </c>
      <c r="K714" s="15"/>
      <c r="L714" s="15">
        <f t="shared" si="163"/>
        <v>0</v>
      </c>
      <c r="M714" s="15">
        <v>100</v>
      </c>
      <c r="N714" s="15">
        <f t="shared" si="164"/>
        <v>2113131</v>
      </c>
      <c r="O714" s="15" t="str">
        <f>IF(AND(A714='BANG KE NL'!$M$11,TH!C714="NL",LEFT(D714,1)="N"),"x","")</f>
        <v/>
      </c>
    </row>
    <row r="715" spans="1:15" hidden="1">
      <c r="A715" s="24">
        <f t="shared" si="138"/>
        <v>7</v>
      </c>
      <c r="B715" s="176" t="str">
        <f>IF(AND(MONTH(E715)='IN-NX'!$J$5,'IN-NX'!$D$7=(D715&amp;"/"&amp;C715)),"x","")</f>
        <v/>
      </c>
      <c r="C715" s="173" t="s">
        <v>224</v>
      </c>
      <c r="D715" s="173" t="s">
        <v>221</v>
      </c>
      <c r="E715" s="70">
        <v>42192</v>
      </c>
      <c r="F715" s="62" t="s">
        <v>41</v>
      </c>
      <c r="G715" s="19" t="s">
        <v>229</v>
      </c>
      <c r="H715" s="200" t="s">
        <v>97</v>
      </c>
      <c r="I715" s="57" t="s">
        <v>145</v>
      </c>
      <c r="J715" s="15">
        <v>3500</v>
      </c>
      <c r="K715" s="15"/>
      <c r="L715" s="15">
        <f t="shared" si="163"/>
        <v>0</v>
      </c>
      <c r="M715" s="15">
        <v>250</v>
      </c>
      <c r="N715" s="15">
        <f t="shared" si="164"/>
        <v>875000</v>
      </c>
      <c r="O715" s="15" t="str">
        <f>IF(AND(A715='BANG KE NL'!$M$11,TH!C715="NL",LEFT(D715,1)="N"),"x","")</f>
        <v/>
      </c>
    </row>
    <row r="716" spans="1:15" hidden="1">
      <c r="A716" s="24">
        <f t="shared" si="138"/>
        <v>7</v>
      </c>
      <c r="B716" s="176" t="str">
        <f>IF(AND(MONTH(E716)='IN-NX'!$J$5,'IN-NX'!$D$7=(D716&amp;"/"&amp;C716)),"x","")</f>
        <v/>
      </c>
      <c r="C716" s="173" t="s">
        <v>224</v>
      </c>
      <c r="D716" s="173" t="s">
        <v>221</v>
      </c>
      <c r="E716" s="70">
        <v>42192</v>
      </c>
      <c r="F716" s="62" t="s">
        <v>108</v>
      </c>
      <c r="G716" s="19" t="s">
        <v>229</v>
      </c>
      <c r="H716" s="200" t="s">
        <v>97</v>
      </c>
      <c r="I716" s="57" t="s">
        <v>145</v>
      </c>
      <c r="J716" s="15">
        <v>3000</v>
      </c>
      <c r="K716" s="15"/>
      <c r="L716" s="15">
        <f t="shared" si="163"/>
        <v>0</v>
      </c>
      <c r="M716" s="15">
        <v>450</v>
      </c>
      <c r="N716" s="15">
        <f t="shared" si="164"/>
        <v>1350000</v>
      </c>
      <c r="O716" s="15" t="str">
        <f>IF(AND(A716='BANG KE NL'!$M$11,TH!C716="NL",LEFT(D716,1)="N"),"x","")</f>
        <v/>
      </c>
    </row>
    <row r="717" spans="1:15" hidden="1">
      <c r="A717" s="24">
        <f t="shared" si="138"/>
        <v>7</v>
      </c>
      <c r="B717" s="176" t="str">
        <f>IF(AND(MONTH(E717)='IN-NX'!$J$5,'IN-NX'!$D$7=(D717&amp;"/"&amp;C717)),"x","")</f>
        <v/>
      </c>
      <c r="C717" s="173" t="s">
        <v>224</v>
      </c>
      <c r="D717" s="173" t="s">
        <v>220</v>
      </c>
      <c r="E717" s="70">
        <v>42190</v>
      </c>
      <c r="F717" s="62" t="s">
        <v>110</v>
      </c>
      <c r="G717" s="19" t="s">
        <v>229</v>
      </c>
      <c r="H717" s="200" t="s">
        <v>97</v>
      </c>
      <c r="I717" s="57" t="s">
        <v>145</v>
      </c>
      <c r="J717" s="15">
        <v>8465.3438901077934</v>
      </c>
      <c r="K717" s="15"/>
      <c r="L717" s="15">
        <f t="shared" si="163"/>
        <v>0</v>
      </c>
      <c r="M717" s="15">
        <v>2500</v>
      </c>
      <c r="N717" s="15">
        <f t="shared" si="164"/>
        <v>21163360</v>
      </c>
      <c r="O717" s="15" t="str">
        <f>IF(AND(A717='BANG KE NL'!$M$11,TH!C717="NL",LEFT(D717,1)="N"),"x","")</f>
        <v/>
      </c>
    </row>
    <row r="718" spans="1:15" hidden="1">
      <c r="A718" s="24">
        <f t="shared" si="138"/>
        <v>7</v>
      </c>
      <c r="B718" s="176" t="str">
        <f>IF(AND(MONTH(E718)='IN-NX'!$J$5,'IN-NX'!$D$7=(D718&amp;"/"&amp;C718)),"x","")</f>
        <v/>
      </c>
      <c r="C718" s="173" t="s">
        <v>224</v>
      </c>
      <c r="D718" s="173" t="s">
        <v>222</v>
      </c>
      <c r="E718" s="70">
        <v>42205</v>
      </c>
      <c r="F718" s="62" t="s">
        <v>38</v>
      </c>
      <c r="G718" s="19" t="s">
        <v>229</v>
      </c>
      <c r="H718" s="200" t="s">
        <v>97</v>
      </c>
      <c r="I718" s="57" t="s">
        <v>145</v>
      </c>
      <c r="J718" s="15">
        <v>8500</v>
      </c>
      <c r="K718" s="15"/>
      <c r="L718" s="15">
        <f t="shared" si="163"/>
        <v>0</v>
      </c>
      <c r="M718" s="15">
        <v>150</v>
      </c>
      <c r="N718" s="15">
        <f t="shared" si="164"/>
        <v>1275000</v>
      </c>
      <c r="O718" s="15" t="str">
        <f>IF(AND(A718='BANG KE NL'!$M$11,TH!C718="NL",LEFT(D718,1)="N"),"x","")</f>
        <v/>
      </c>
    </row>
    <row r="719" spans="1:15" hidden="1">
      <c r="A719" s="24">
        <f t="shared" si="138"/>
        <v>7</v>
      </c>
      <c r="B719" s="176" t="str">
        <f>IF(AND(MONTH(E719)='IN-NX'!$J$5,'IN-NX'!$D$7=(D719&amp;"/"&amp;C719)),"x","")</f>
        <v/>
      </c>
      <c r="C719" s="173" t="s">
        <v>224</v>
      </c>
      <c r="D719" s="173" t="s">
        <v>222</v>
      </c>
      <c r="E719" s="70">
        <v>42205</v>
      </c>
      <c r="F719" s="62" t="s">
        <v>54</v>
      </c>
      <c r="G719" s="19" t="s">
        <v>229</v>
      </c>
      <c r="H719" s="200" t="s">
        <v>97</v>
      </c>
      <c r="I719" s="57" t="s">
        <v>145</v>
      </c>
      <c r="J719" s="15">
        <v>323.05080427144196</v>
      </c>
      <c r="K719" s="15"/>
      <c r="L719" s="15">
        <f t="shared" si="163"/>
        <v>0</v>
      </c>
      <c r="M719" s="15">
        <v>5000</v>
      </c>
      <c r="N719" s="15">
        <f t="shared" si="164"/>
        <v>1615254</v>
      </c>
      <c r="O719" s="15" t="str">
        <f>IF(AND(A719='BANG KE NL'!$M$11,TH!C719="NL",LEFT(D719,1)="N"),"x","")</f>
        <v/>
      </c>
    </row>
    <row r="720" spans="1:15" hidden="1">
      <c r="A720" s="24">
        <f t="shared" si="138"/>
        <v>7</v>
      </c>
      <c r="B720" s="176" t="str">
        <f>IF(AND(MONTH(E720)='IN-NX'!$J$5,'IN-NX'!$D$7=(D720&amp;"/"&amp;C720)),"x","")</f>
        <v/>
      </c>
      <c r="C720" s="173" t="s">
        <v>224</v>
      </c>
      <c r="D720" s="173" t="s">
        <v>223</v>
      </c>
      <c r="E720" s="70">
        <v>42205</v>
      </c>
      <c r="F720" s="62" t="s">
        <v>276</v>
      </c>
      <c r="G720" s="19" t="s">
        <v>229</v>
      </c>
      <c r="H720" s="200" t="s">
        <v>97</v>
      </c>
      <c r="I720" s="57" t="s">
        <v>145</v>
      </c>
      <c r="J720" s="15">
        <v>12000</v>
      </c>
      <c r="K720" s="15"/>
      <c r="L720" s="15">
        <f t="shared" si="163"/>
        <v>0</v>
      </c>
      <c r="M720" s="15">
        <v>500</v>
      </c>
      <c r="N720" s="15">
        <f t="shared" si="164"/>
        <v>6000000</v>
      </c>
      <c r="O720" s="15" t="str">
        <f>IF(AND(A720='BANG KE NL'!$M$11,TH!C720="NL",LEFT(D720,1)="N"),"x","")</f>
        <v/>
      </c>
    </row>
    <row r="721" spans="1:15" hidden="1">
      <c r="A721" s="24">
        <f t="shared" si="138"/>
        <v>7</v>
      </c>
      <c r="B721" s="176" t="str">
        <f>IF(AND(MONTH(E721)='IN-NX'!$J$5,'IN-NX'!$D$7=(D721&amp;"/"&amp;C721)),"x","")</f>
        <v/>
      </c>
      <c r="C721" s="173" t="s">
        <v>224</v>
      </c>
      <c r="D721" s="173" t="s">
        <v>223</v>
      </c>
      <c r="E721" s="70">
        <v>42205</v>
      </c>
      <c r="F721" s="62" t="s">
        <v>101</v>
      </c>
      <c r="G721" s="19" t="s">
        <v>229</v>
      </c>
      <c r="H721" s="200" t="s">
        <v>97</v>
      </c>
      <c r="I721" s="57" t="s">
        <v>145</v>
      </c>
      <c r="J721" s="15">
        <v>17000</v>
      </c>
      <c r="K721" s="15"/>
      <c r="L721" s="15">
        <f t="shared" si="163"/>
        <v>0</v>
      </c>
      <c r="M721" s="15">
        <v>260</v>
      </c>
      <c r="N721" s="15">
        <f t="shared" si="164"/>
        <v>4420000</v>
      </c>
      <c r="O721" s="15" t="str">
        <f>IF(AND(A721='BANG KE NL'!$M$11,TH!C721="NL",LEFT(D721,1)="N"),"x","")</f>
        <v/>
      </c>
    </row>
    <row r="722" spans="1:15" hidden="1">
      <c r="A722" s="24">
        <f t="shared" si="138"/>
        <v>7</v>
      </c>
      <c r="B722" s="176" t="str">
        <f>IF(AND(MONTH(E722)='IN-NX'!$J$5,'IN-NX'!$D$7=(D722&amp;"/"&amp;C722)),"x","")</f>
        <v/>
      </c>
      <c r="C722" s="173" t="s">
        <v>224</v>
      </c>
      <c r="D722" s="173" t="s">
        <v>223</v>
      </c>
      <c r="E722" s="70">
        <v>42205</v>
      </c>
      <c r="F722" s="62" t="s">
        <v>380</v>
      </c>
      <c r="G722" s="19" t="s">
        <v>229</v>
      </c>
      <c r="H722" s="200" t="s">
        <v>97</v>
      </c>
      <c r="I722" s="57" t="s">
        <v>145</v>
      </c>
      <c r="J722" s="15">
        <v>2500</v>
      </c>
      <c r="K722" s="15"/>
      <c r="L722" s="15">
        <f t="shared" si="163"/>
        <v>0</v>
      </c>
      <c r="M722" s="15">
        <v>260</v>
      </c>
      <c r="N722" s="15">
        <f t="shared" si="164"/>
        <v>650000</v>
      </c>
      <c r="O722" s="15" t="str">
        <f>IF(AND(A722='BANG KE NL'!$M$11,TH!C722="NL",LEFT(D722,1)="N"),"x","")</f>
        <v/>
      </c>
    </row>
    <row r="723" spans="1:15" hidden="1">
      <c r="A723" s="24">
        <f t="shared" si="138"/>
        <v>7</v>
      </c>
      <c r="B723" s="176" t="str">
        <f>IF(AND(MONTH(E723)='IN-NX'!$J$5,'IN-NX'!$D$7=(D723&amp;"/"&amp;C723)),"x","")</f>
        <v/>
      </c>
      <c r="C723" s="173" t="s">
        <v>224</v>
      </c>
      <c r="D723" s="173" t="s">
        <v>230</v>
      </c>
      <c r="E723" s="70">
        <v>42212</v>
      </c>
      <c r="F723" s="62" t="s">
        <v>104</v>
      </c>
      <c r="G723" s="19" t="s">
        <v>229</v>
      </c>
      <c r="H723" s="200" t="s">
        <v>97</v>
      </c>
      <c r="I723" s="57" t="s">
        <v>145</v>
      </c>
      <c r="J723" s="15">
        <v>4500</v>
      </c>
      <c r="K723" s="15"/>
      <c r="L723" s="15">
        <f t="shared" si="163"/>
        <v>0</v>
      </c>
      <c r="M723" s="15">
        <v>2600</v>
      </c>
      <c r="N723" s="15">
        <f t="shared" si="164"/>
        <v>11700000</v>
      </c>
      <c r="O723" s="15" t="str">
        <f>IF(AND(A723='BANG KE NL'!$M$11,TH!C723="NL",LEFT(D723,1)="N"),"x","")</f>
        <v/>
      </c>
    </row>
    <row r="724" spans="1:15" hidden="1">
      <c r="A724" s="24">
        <f t="shared" si="138"/>
        <v>8</v>
      </c>
      <c r="B724" s="176" t="str">
        <f>IF(AND(MONTH(E724)='IN-NX'!$J$5,'IN-NX'!$D$7=(D724&amp;"/"&amp;C724)),"x","")</f>
        <v/>
      </c>
      <c r="C724" s="173" t="s">
        <v>224</v>
      </c>
      <c r="D724" s="173" t="s">
        <v>214</v>
      </c>
      <c r="E724" s="70">
        <v>42230</v>
      </c>
      <c r="F724" s="62" t="s">
        <v>391</v>
      </c>
      <c r="G724" s="19" t="s">
        <v>151</v>
      </c>
      <c r="H724" s="200" t="s">
        <v>145</v>
      </c>
      <c r="I724" s="57" t="s">
        <v>124</v>
      </c>
      <c r="J724" s="15">
        <v>14600</v>
      </c>
      <c r="K724" s="15">
        <v>4900</v>
      </c>
      <c r="L724" s="15">
        <f t="shared" ref="L724:L748" si="165">ROUND(J724*K724,0)</f>
        <v>71540000</v>
      </c>
      <c r="M724" s="15"/>
      <c r="N724" s="15">
        <f t="shared" ref="N724:N748" si="166">ROUND(J724*M724,0)</f>
        <v>0</v>
      </c>
      <c r="O724" s="15" t="str">
        <f>IF(AND(A724='BANG KE NL'!$M$11,TH!C724="NL",LEFT(D724,1)="N"),"x","")</f>
        <v/>
      </c>
    </row>
    <row r="725" spans="1:15" hidden="1">
      <c r="A725" s="24">
        <f t="shared" si="138"/>
        <v>8</v>
      </c>
      <c r="B725" s="176" t="str">
        <f>IF(AND(MONTH(E725)='IN-NX'!$J$5,'IN-NX'!$D$7=(D725&amp;"/"&amp;C725)),"x","")</f>
        <v/>
      </c>
      <c r="C725" s="173" t="s">
        <v>224</v>
      </c>
      <c r="D725" s="173" t="s">
        <v>215</v>
      </c>
      <c r="E725" s="70">
        <v>42241</v>
      </c>
      <c r="F725" s="62" t="s">
        <v>66</v>
      </c>
      <c r="G725" s="19" t="s">
        <v>153</v>
      </c>
      <c r="H725" s="200" t="s">
        <v>145</v>
      </c>
      <c r="I725" s="57" t="s">
        <v>124</v>
      </c>
      <c r="J725" s="15">
        <v>19797.98</v>
      </c>
      <c r="K725" s="15">
        <v>450</v>
      </c>
      <c r="L725" s="15">
        <f t="shared" si="165"/>
        <v>8909091</v>
      </c>
      <c r="M725" s="15"/>
      <c r="N725" s="15">
        <f t="shared" si="166"/>
        <v>0</v>
      </c>
      <c r="O725" s="15" t="str">
        <f>IF(AND(A725='BANG KE NL'!$M$11,TH!C725="NL",LEFT(D725,1)="N"),"x","")</f>
        <v/>
      </c>
    </row>
    <row r="726" spans="1:15" hidden="1">
      <c r="A726" s="24">
        <f t="shared" si="138"/>
        <v>8</v>
      </c>
      <c r="B726" s="176" t="str">
        <f>IF(AND(MONTH(E726)='IN-NX'!$J$5,'IN-NX'!$D$7=(D726&amp;"/"&amp;C726)),"x","")</f>
        <v/>
      </c>
      <c r="C726" s="173" t="s">
        <v>224</v>
      </c>
      <c r="D726" s="173" t="s">
        <v>220</v>
      </c>
      <c r="E726" s="70">
        <v>42221</v>
      </c>
      <c r="F726" s="62" t="s">
        <v>39</v>
      </c>
      <c r="G726" s="19" t="s">
        <v>229</v>
      </c>
      <c r="H726" s="200" t="s">
        <v>97</v>
      </c>
      <c r="I726" s="57" t="s">
        <v>145</v>
      </c>
      <c r="J726" s="15">
        <v>31000</v>
      </c>
      <c r="K726" s="15"/>
      <c r="L726" s="15">
        <f t="shared" si="165"/>
        <v>0</v>
      </c>
      <c r="M726" s="15">
        <v>150</v>
      </c>
      <c r="N726" s="15">
        <f t="shared" si="166"/>
        <v>4650000</v>
      </c>
      <c r="O726" s="15" t="str">
        <f>IF(AND(A726='BANG KE NL'!$M$11,TH!C726="NL",LEFT(D726,1)="N"),"x","")</f>
        <v/>
      </c>
    </row>
    <row r="727" spans="1:15" hidden="1">
      <c r="A727" s="24">
        <f t="shared" si="138"/>
        <v>8</v>
      </c>
      <c r="B727" s="176" t="str">
        <f>IF(AND(MONTH(E727)='IN-NX'!$J$5,'IN-NX'!$D$7=(D727&amp;"/"&amp;C727)),"x","")</f>
        <v/>
      </c>
      <c r="C727" s="173" t="s">
        <v>224</v>
      </c>
      <c r="D727" s="173" t="s">
        <v>220</v>
      </c>
      <c r="E727" s="70">
        <v>42221</v>
      </c>
      <c r="F727" s="62" t="s">
        <v>49</v>
      </c>
      <c r="G727" s="19" t="s">
        <v>229</v>
      </c>
      <c r="H727" s="200" t="s">
        <v>97</v>
      </c>
      <c r="I727" s="57" t="s">
        <v>145</v>
      </c>
      <c r="J727" s="15">
        <v>46741.2</v>
      </c>
      <c r="K727" s="15"/>
      <c r="L727" s="15">
        <f t="shared" si="165"/>
        <v>0</v>
      </c>
      <c r="M727" s="15">
        <v>125</v>
      </c>
      <c r="N727" s="15">
        <f t="shared" si="166"/>
        <v>5842650</v>
      </c>
      <c r="O727" s="15" t="str">
        <f>IF(AND(A727='BANG KE NL'!$M$11,TH!C727="NL",LEFT(D727,1)="N"),"x","")</f>
        <v/>
      </c>
    </row>
    <row r="728" spans="1:15" hidden="1">
      <c r="A728" s="24">
        <f t="shared" si="138"/>
        <v>8</v>
      </c>
      <c r="B728" s="176" t="str">
        <f>IF(AND(MONTH(E728)='IN-NX'!$J$5,'IN-NX'!$D$7=(D728&amp;"/"&amp;C728)),"x","")</f>
        <v/>
      </c>
      <c r="C728" s="173" t="s">
        <v>224</v>
      </c>
      <c r="D728" s="173" t="s">
        <v>220</v>
      </c>
      <c r="E728" s="70">
        <v>42221</v>
      </c>
      <c r="F728" s="62" t="s">
        <v>41</v>
      </c>
      <c r="G728" s="19" t="s">
        <v>229</v>
      </c>
      <c r="H728" s="200" t="s">
        <v>97</v>
      </c>
      <c r="I728" s="57" t="s">
        <v>145</v>
      </c>
      <c r="J728" s="15">
        <v>3500</v>
      </c>
      <c r="K728" s="15"/>
      <c r="L728" s="15">
        <f t="shared" si="165"/>
        <v>0</v>
      </c>
      <c r="M728" s="15">
        <v>150</v>
      </c>
      <c r="N728" s="15">
        <f t="shared" si="166"/>
        <v>525000</v>
      </c>
      <c r="O728" s="15" t="str">
        <f>IF(AND(A728='BANG KE NL'!$M$11,TH!C728="NL",LEFT(D728,1)="N"),"x","")</f>
        <v/>
      </c>
    </row>
    <row r="729" spans="1:15" hidden="1">
      <c r="A729" s="24">
        <f t="shared" si="138"/>
        <v>8</v>
      </c>
      <c r="B729" s="176" t="str">
        <f>IF(AND(MONTH(E729)='IN-NX'!$J$5,'IN-NX'!$D$7=(D729&amp;"/"&amp;C729)),"x","")</f>
        <v/>
      </c>
      <c r="C729" s="173" t="s">
        <v>224</v>
      </c>
      <c r="D729" s="173" t="s">
        <v>221</v>
      </c>
      <c r="E729" s="70">
        <v>42223</v>
      </c>
      <c r="F729" s="62" t="s">
        <v>40</v>
      </c>
      <c r="G729" s="19" t="s">
        <v>229</v>
      </c>
      <c r="H729" s="200" t="s">
        <v>97</v>
      </c>
      <c r="I729" s="57" t="s">
        <v>145</v>
      </c>
      <c r="J729" s="15">
        <v>11666.666999999999</v>
      </c>
      <c r="K729" s="15"/>
      <c r="L729" s="15">
        <f t="shared" si="165"/>
        <v>0</v>
      </c>
      <c r="M729" s="15">
        <v>150</v>
      </c>
      <c r="N729" s="15">
        <f t="shared" si="166"/>
        <v>1750000</v>
      </c>
      <c r="O729" s="15" t="str">
        <f>IF(AND(A729='BANG KE NL'!$M$11,TH!C729="NL",LEFT(D729,1)="N"),"x","")</f>
        <v/>
      </c>
    </row>
    <row r="730" spans="1:15" hidden="1">
      <c r="A730" s="24">
        <f t="shared" si="138"/>
        <v>8</v>
      </c>
      <c r="B730" s="176" t="str">
        <f>IF(AND(MONTH(E730)='IN-NX'!$J$5,'IN-NX'!$D$7=(D730&amp;"/"&amp;C730)),"x","")</f>
        <v/>
      </c>
      <c r="C730" s="173" t="s">
        <v>224</v>
      </c>
      <c r="D730" s="173" t="s">
        <v>221</v>
      </c>
      <c r="E730" s="70">
        <v>42223</v>
      </c>
      <c r="F730" s="62" t="s">
        <v>66</v>
      </c>
      <c r="G730" s="19" t="s">
        <v>229</v>
      </c>
      <c r="H730" s="200" t="s">
        <v>97</v>
      </c>
      <c r="I730" s="57" t="s">
        <v>145</v>
      </c>
      <c r="J730" s="15">
        <v>21131.31</v>
      </c>
      <c r="K730" s="15"/>
      <c r="L730" s="15">
        <f t="shared" ref="L730" si="167">ROUND(J730*K730,0)</f>
        <v>0</v>
      </c>
      <c r="M730" s="15">
        <v>150</v>
      </c>
      <c r="N730" s="15">
        <f t="shared" ref="N730" si="168">ROUND(J730*M730,0)</f>
        <v>3169697</v>
      </c>
      <c r="O730" s="15" t="str">
        <f>IF(AND(A730='BANG KE NL'!$M$11,TH!C730="NL",LEFT(D730,1)="N"),"x","")</f>
        <v/>
      </c>
    </row>
    <row r="731" spans="1:15" hidden="1">
      <c r="A731" s="24">
        <f t="shared" si="138"/>
        <v>8</v>
      </c>
      <c r="B731" s="176" t="str">
        <f>IF(AND(MONTH(E731)='IN-NX'!$J$5,'IN-NX'!$D$7=(D731&amp;"/"&amp;C731)),"x","")</f>
        <v/>
      </c>
      <c r="C731" s="173" t="s">
        <v>224</v>
      </c>
      <c r="D731" s="173" t="s">
        <v>221</v>
      </c>
      <c r="E731" s="70">
        <v>42223</v>
      </c>
      <c r="F731" s="62" t="s">
        <v>108</v>
      </c>
      <c r="G731" s="19" t="s">
        <v>229</v>
      </c>
      <c r="H731" s="200" t="s">
        <v>97</v>
      </c>
      <c r="I731" s="57" t="s">
        <v>145</v>
      </c>
      <c r="J731" s="15">
        <v>3000</v>
      </c>
      <c r="K731" s="15"/>
      <c r="L731" s="15">
        <f t="shared" si="165"/>
        <v>0</v>
      </c>
      <c r="M731" s="15">
        <v>200</v>
      </c>
      <c r="N731" s="15">
        <f t="shared" si="166"/>
        <v>600000</v>
      </c>
      <c r="O731" s="15" t="str">
        <f>IF(AND(A731='BANG KE NL'!$M$11,TH!C731="NL",LEFT(D731,1)="N"),"x","")</f>
        <v/>
      </c>
    </row>
    <row r="732" spans="1:15" hidden="1">
      <c r="A732" s="24">
        <f t="shared" si="138"/>
        <v>8</v>
      </c>
      <c r="B732" s="176" t="str">
        <f>IF(AND(MONTH(E732)='IN-NX'!$J$5,'IN-NX'!$D$7=(D732&amp;"/"&amp;C732)),"x","")</f>
        <v/>
      </c>
      <c r="C732" s="173" t="s">
        <v>224</v>
      </c>
      <c r="D732" s="173" t="s">
        <v>221</v>
      </c>
      <c r="E732" s="70">
        <v>42223</v>
      </c>
      <c r="F732" s="62" t="s">
        <v>110</v>
      </c>
      <c r="G732" s="19" t="s">
        <v>229</v>
      </c>
      <c r="H732" s="200" t="s">
        <v>97</v>
      </c>
      <c r="I732" s="57" t="s">
        <v>145</v>
      </c>
      <c r="J732" s="15">
        <v>8465.3438901077934</v>
      </c>
      <c r="K732" s="15"/>
      <c r="L732" s="15">
        <f t="shared" si="165"/>
        <v>0</v>
      </c>
      <c r="M732" s="15">
        <v>3393</v>
      </c>
      <c r="N732" s="15">
        <f t="shared" si="166"/>
        <v>28722912</v>
      </c>
      <c r="O732" s="15" t="str">
        <f>IF(AND(A732='BANG KE NL'!$M$11,TH!C732="NL",LEFT(D732,1)="N"),"x","")</f>
        <v/>
      </c>
    </row>
    <row r="733" spans="1:15" hidden="1">
      <c r="A733" s="24">
        <f t="shared" si="138"/>
        <v>8</v>
      </c>
      <c r="B733" s="176" t="str">
        <f>IF(AND(MONTH(E733)='IN-NX'!$J$5,'IN-NX'!$D$7=(D733&amp;"/"&amp;C733)),"x","")</f>
        <v/>
      </c>
      <c r="C733" s="173" t="s">
        <v>224</v>
      </c>
      <c r="D733" s="173" t="s">
        <v>222</v>
      </c>
      <c r="E733" s="70">
        <v>42226</v>
      </c>
      <c r="F733" s="62" t="s">
        <v>38</v>
      </c>
      <c r="G733" s="19" t="s">
        <v>229</v>
      </c>
      <c r="H733" s="200" t="s">
        <v>97</v>
      </c>
      <c r="I733" s="57" t="s">
        <v>145</v>
      </c>
      <c r="J733" s="15">
        <v>8500</v>
      </c>
      <c r="K733" s="15"/>
      <c r="L733" s="15">
        <f t="shared" si="165"/>
        <v>0</v>
      </c>
      <c r="M733" s="15">
        <v>150</v>
      </c>
      <c r="N733" s="15">
        <f t="shared" si="166"/>
        <v>1275000</v>
      </c>
      <c r="O733" s="15" t="str">
        <f>IF(AND(A733='BANG KE NL'!$M$11,TH!C733="NL",LEFT(D733,1)="N"),"x","")</f>
        <v/>
      </c>
    </row>
    <row r="734" spans="1:15" hidden="1">
      <c r="A734" s="24">
        <f t="shared" si="138"/>
        <v>8</v>
      </c>
      <c r="B734" s="176" t="str">
        <f>IF(AND(MONTH(E734)='IN-NX'!$J$5,'IN-NX'!$D$7=(D734&amp;"/"&amp;C734)),"x","")</f>
        <v/>
      </c>
      <c r="C734" s="173" t="s">
        <v>224</v>
      </c>
      <c r="D734" s="173" t="s">
        <v>222</v>
      </c>
      <c r="E734" s="70">
        <v>42226</v>
      </c>
      <c r="F734" s="62" t="s">
        <v>54</v>
      </c>
      <c r="G734" s="19" t="s">
        <v>229</v>
      </c>
      <c r="H734" s="200" t="s">
        <v>97</v>
      </c>
      <c r="I734" s="57" t="s">
        <v>145</v>
      </c>
      <c r="J734" s="15">
        <v>323.05080427144196</v>
      </c>
      <c r="K734" s="15"/>
      <c r="L734" s="15">
        <f t="shared" si="165"/>
        <v>0</v>
      </c>
      <c r="M734" s="15">
        <v>5000</v>
      </c>
      <c r="N734" s="15">
        <f t="shared" si="166"/>
        <v>1615254</v>
      </c>
      <c r="O734" s="15" t="str">
        <f>IF(AND(A734='BANG KE NL'!$M$11,TH!C734="NL",LEFT(D734,1)="N"),"x","")</f>
        <v/>
      </c>
    </row>
    <row r="735" spans="1:15" hidden="1">
      <c r="A735" s="24">
        <f t="shared" si="138"/>
        <v>8</v>
      </c>
      <c r="B735" s="176" t="str">
        <f>IF(AND(MONTH(E735)='IN-NX'!$J$5,'IN-NX'!$D$7=(D735&amp;"/"&amp;C735)),"x","")</f>
        <v/>
      </c>
      <c r="C735" s="173" t="s">
        <v>224</v>
      </c>
      <c r="D735" s="173" t="s">
        <v>222</v>
      </c>
      <c r="E735" s="70">
        <v>42226</v>
      </c>
      <c r="F735" s="62" t="s">
        <v>123</v>
      </c>
      <c r="G735" s="19" t="s">
        <v>229</v>
      </c>
      <c r="H735" s="200" t="s">
        <v>97</v>
      </c>
      <c r="I735" s="57" t="s">
        <v>145</v>
      </c>
      <c r="J735" s="15">
        <v>35000</v>
      </c>
      <c r="K735" s="15"/>
      <c r="L735" s="15">
        <f t="shared" si="165"/>
        <v>0</v>
      </c>
      <c r="M735" s="15">
        <v>100</v>
      </c>
      <c r="N735" s="15">
        <f t="shared" si="166"/>
        <v>3500000</v>
      </c>
      <c r="O735" s="15" t="str">
        <f>IF(AND(A735='BANG KE NL'!$M$11,TH!C735="NL",LEFT(D735,1)="N"),"x","")</f>
        <v/>
      </c>
    </row>
    <row r="736" spans="1:15" hidden="1">
      <c r="A736" s="24">
        <f t="shared" si="138"/>
        <v>8</v>
      </c>
      <c r="B736" s="176" t="str">
        <f>IF(AND(MONTH(E736)='IN-NX'!$J$5,'IN-NX'!$D$7=(D736&amp;"/"&amp;C736)),"x","")</f>
        <v/>
      </c>
      <c r="C736" s="173" t="s">
        <v>224</v>
      </c>
      <c r="D736" s="173" t="s">
        <v>222</v>
      </c>
      <c r="E736" s="70">
        <v>42226</v>
      </c>
      <c r="F736" s="62" t="s">
        <v>58</v>
      </c>
      <c r="G736" s="19" t="s">
        <v>229</v>
      </c>
      <c r="H736" s="200" t="s">
        <v>97</v>
      </c>
      <c r="I736" s="57" t="s">
        <v>145</v>
      </c>
      <c r="J736" s="15">
        <v>34000</v>
      </c>
      <c r="K736" s="15"/>
      <c r="L736" s="15">
        <f t="shared" si="165"/>
        <v>0</v>
      </c>
      <c r="M736" s="15">
        <v>190</v>
      </c>
      <c r="N736" s="15">
        <f t="shared" si="166"/>
        <v>6460000</v>
      </c>
      <c r="O736" s="15" t="str">
        <f>IF(AND(A736='BANG KE NL'!$M$11,TH!C736="NL",LEFT(D736,1)="N"),"x","")</f>
        <v/>
      </c>
    </row>
    <row r="737" spans="1:15" hidden="1">
      <c r="A737" s="24">
        <f t="shared" si="138"/>
        <v>8</v>
      </c>
      <c r="B737" s="176" t="str">
        <f>IF(AND(MONTH(E737)='IN-NX'!$J$5,'IN-NX'!$D$7=(D737&amp;"/"&amp;C737)),"x","")</f>
        <v/>
      </c>
      <c r="C737" s="173" t="s">
        <v>224</v>
      </c>
      <c r="D737" s="173" t="s">
        <v>223</v>
      </c>
      <c r="E737" s="70">
        <v>42228</v>
      </c>
      <c r="F737" s="62" t="s">
        <v>276</v>
      </c>
      <c r="G737" s="19" t="s">
        <v>229</v>
      </c>
      <c r="H737" s="200" t="s">
        <v>97</v>
      </c>
      <c r="I737" s="57" t="s">
        <v>145</v>
      </c>
      <c r="J737" s="15">
        <v>14200</v>
      </c>
      <c r="K737" s="15"/>
      <c r="L737" s="15">
        <f t="shared" si="165"/>
        <v>0</v>
      </c>
      <c r="M737" s="15">
        <v>550</v>
      </c>
      <c r="N737" s="15">
        <f t="shared" si="166"/>
        <v>7810000</v>
      </c>
      <c r="O737" s="15" t="str">
        <f>IF(AND(A737='BANG KE NL'!$M$11,TH!C737="NL",LEFT(D737,1)="N"),"x","")</f>
        <v/>
      </c>
    </row>
    <row r="738" spans="1:15" hidden="1">
      <c r="A738" s="24">
        <f t="shared" si="138"/>
        <v>8</v>
      </c>
      <c r="B738" s="176" t="str">
        <f>IF(AND(MONTH(E738)='IN-NX'!$J$5,'IN-NX'!$D$7=(D738&amp;"/"&amp;C738)),"x","")</f>
        <v/>
      </c>
      <c r="C738" s="173" t="s">
        <v>224</v>
      </c>
      <c r="D738" s="173" t="s">
        <v>223</v>
      </c>
      <c r="E738" s="70">
        <v>42228</v>
      </c>
      <c r="F738" s="62" t="s">
        <v>390</v>
      </c>
      <c r="G738" s="19" t="s">
        <v>229</v>
      </c>
      <c r="H738" s="200" t="s">
        <v>97</v>
      </c>
      <c r="I738" s="57" t="s">
        <v>145</v>
      </c>
      <c r="J738" s="15">
        <v>14500</v>
      </c>
      <c r="K738" s="15"/>
      <c r="L738" s="15">
        <f t="shared" si="165"/>
        <v>0</v>
      </c>
      <c r="M738" s="15">
        <v>750</v>
      </c>
      <c r="N738" s="15">
        <f t="shared" si="166"/>
        <v>10875000</v>
      </c>
      <c r="O738" s="15" t="str">
        <f>IF(AND(A738='BANG KE NL'!$M$11,TH!C738="NL",LEFT(D738,1)="N"),"x","")</f>
        <v/>
      </c>
    </row>
    <row r="739" spans="1:15" hidden="1">
      <c r="A739" s="24">
        <f t="shared" si="138"/>
        <v>8</v>
      </c>
      <c r="B739" s="176" t="str">
        <f>IF(AND(MONTH(E739)='IN-NX'!$J$5,'IN-NX'!$D$7=(D739&amp;"/"&amp;C739)),"x","")</f>
        <v/>
      </c>
      <c r="C739" s="173" t="s">
        <v>224</v>
      </c>
      <c r="D739" s="173" t="s">
        <v>230</v>
      </c>
      <c r="E739" s="70">
        <v>42236</v>
      </c>
      <c r="F739" s="62" t="s">
        <v>101</v>
      </c>
      <c r="G739" s="19" t="s">
        <v>229</v>
      </c>
      <c r="H739" s="200" t="s">
        <v>97</v>
      </c>
      <c r="I739" s="57" t="s">
        <v>145</v>
      </c>
      <c r="J739" s="15">
        <v>17000</v>
      </c>
      <c r="K739" s="15"/>
      <c r="L739" s="15">
        <f t="shared" si="165"/>
        <v>0</v>
      </c>
      <c r="M739" s="15">
        <v>630</v>
      </c>
      <c r="N739" s="15">
        <f t="shared" si="166"/>
        <v>10710000</v>
      </c>
      <c r="O739" s="15" t="str">
        <f>IF(AND(A739='BANG KE NL'!$M$11,TH!C739="NL",LEFT(D739,1)="N"),"x","")</f>
        <v/>
      </c>
    </row>
    <row r="740" spans="1:15" hidden="1">
      <c r="A740" s="24">
        <f t="shared" si="138"/>
        <v>8</v>
      </c>
      <c r="B740" s="176" t="str">
        <f>IF(AND(MONTH(E740)='IN-NX'!$J$5,'IN-NX'!$D$7=(D740&amp;"/"&amp;C740)),"x","")</f>
        <v/>
      </c>
      <c r="C740" s="173" t="s">
        <v>224</v>
      </c>
      <c r="D740" s="173" t="s">
        <v>230</v>
      </c>
      <c r="E740" s="70">
        <v>42236</v>
      </c>
      <c r="F740" s="62" t="s">
        <v>380</v>
      </c>
      <c r="G740" s="19" t="s">
        <v>229</v>
      </c>
      <c r="H740" s="200" t="s">
        <v>97</v>
      </c>
      <c r="I740" s="57" t="s">
        <v>145</v>
      </c>
      <c r="J740" s="15">
        <v>2500</v>
      </c>
      <c r="K740" s="15"/>
      <c r="L740" s="15">
        <f t="shared" si="165"/>
        <v>0</v>
      </c>
      <c r="M740" s="15">
        <v>630</v>
      </c>
      <c r="N740" s="15">
        <f t="shared" si="166"/>
        <v>1575000</v>
      </c>
      <c r="O740" s="15" t="str">
        <f>IF(AND(A740='BANG KE NL'!$M$11,TH!C740="NL",LEFT(D740,1)="N"),"x","")</f>
        <v/>
      </c>
    </row>
    <row r="741" spans="1:15" hidden="1">
      <c r="A741" s="24">
        <f t="shared" ref="A741:A804" si="169">IF(E741&lt;&gt;"",MONTH(E741),"")</f>
        <v>8</v>
      </c>
      <c r="B741" s="176" t="str">
        <f>IF(AND(MONTH(E741)='IN-NX'!$J$5,'IN-NX'!$D$7=(D741&amp;"/"&amp;C741)),"x","")</f>
        <v/>
      </c>
      <c r="C741" s="173" t="s">
        <v>224</v>
      </c>
      <c r="D741" s="173" t="s">
        <v>268</v>
      </c>
      <c r="E741" s="70">
        <v>42244</v>
      </c>
      <c r="F741" s="62" t="s">
        <v>103</v>
      </c>
      <c r="G741" s="19" t="s">
        <v>229</v>
      </c>
      <c r="H741" s="200" t="s">
        <v>97</v>
      </c>
      <c r="I741" s="57" t="s">
        <v>145</v>
      </c>
      <c r="J741" s="15">
        <v>34000</v>
      </c>
      <c r="K741" s="15"/>
      <c r="L741" s="15">
        <f t="shared" si="165"/>
        <v>0</v>
      </c>
      <c r="M741" s="15">
        <v>116</v>
      </c>
      <c r="N741" s="15">
        <f t="shared" si="166"/>
        <v>3944000</v>
      </c>
      <c r="O741" s="15" t="str">
        <f>IF(AND(A741='BANG KE NL'!$M$11,TH!C741="NL",LEFT(D741,1)="N"),"x","")</f>
        <v/>
      </c>
    </row>
    <row r="742" spans="1:15" hidden="1">
      <c r="A742" s="24">
        <f t="shared" si="169"/>
        <v>8</v>
      </c>
      <c r="B742" s="176" t="str">
        <f>IF(AND(MONTH(E742)='IN-NX'!$J$5,'IN-NX'!$D$7=(D742&amp;"/"&amp;C742)),"x","")</f>
        <v/>
      </c>
      <c r="C742" s="173" t="s">
        <v>224</v>
      </c>
      <c r="D742" s="173" t="s">
        <v>268</v>
      </c>
      <c r="E742" s="70">
        <v>42244</v>
      </c>
      <c r="F742" s="62" t="s">
        <v>57</v>
      </c>
      <c r="G742" s="19" t="s">
        <v>229</v>
      </c>
      <c r="H742" s="200" t="s">
        <v>97</v>
      </c>
      <c r="I742" s="57" t="s">
        <v>145</v>
      </c>
      <c r="J742" s="15">
        <v>12850</v>
      </c>
      <c r="K742" s="15"/>
      <c r="L742" s="15">
        <f t="shared" si="165"/>
        <v>0</v>
      </c>
      <c r="M742" s="15">
        <v>330</v>
      </c>
      <c r="N742" s="15">
        <f t="shared" si="166"/>
        <v>4240500</v>
      </c>
      <c r="O742" s="15" t="str">
        <f>IF(AND(A742='BANG KE NL'!$M$11,TH!C742="NL",LEFT(D742,1)="N"),"x","")</f>
        <v/>
      </c>
    </row>
    <row r="743" spans="1:15" hidden="1">
      <c r="A743" s="24">
        <f t="shared" si="169"/>
        <v>9</v>
      </c>
      <c r="B743" s="176" t="str">
        <f>IF(AND(MONTH(E743)='IN-NX'!$J$5,'IN-NX'!$D$7=(D743&amp;"/"&amp;C743)),"x","")</f>
        <v/>
      </c>
      <c r="C743" s="173" t="s">
        <v>224</v>
      </c>
      <c r="D743" s="173" t="s">
        <v>214</v>
      </c>
      <c r="E743" s="70">
        <v>42262</v>
      </c>
      <c r="F743" s="62" t="s">
        <v>276</v>
      </c>
      <c r="G743" s="19" t="s">
        <v>151</v>
      </c>
      <c r="H743" s="178" t="s">
        <v>145</v>
      </c>
      <c r="I743" s="57" t="s">
        <v>124</v>
      </c>
      <c r="J743" s="15">
        <v>12000</v>
      </c>
      <c r="K743" s="15">
        <v>400</v>
      </c>
      <c r="L743" s="15">
        <f t="shared" si="165"/>
        <v>4800000</v>
      </c>
      <c r="M743" s="15"/>
      <c r="N743" s="15">
        <f t="shared" si="166"/>
        <v>0</v>
      </c>
      <c r="O743" s="15" t="str">
        <f>IF(AND(A743='BANG KE NL'!$M$11,TH!C743="NL",LEFT(D743,1)="N"),"x","")</f>
        <v/>
      </c>
    </row>
    <row r="744" spans="1:15" hidden="1">
      <c r="A744" s="24">
        <f t="shared" si="169"/>
        <v>9</v>
      </c>
      <c r="B744" s="176" t="str">
        <f>IF(AND(MONTH(E744)='IN-NX'!$J$5,'IN-NX'!$D$7=(D744&amp;"/"&amp;C744)),"x","")</f>
        <v/>
      </c>
      <c r="C744" s="173" t="s">
        <v>224</v>
      </c>
      <c r="D744" s="173" t="s">
        <v>215</v>
      </c>
      <c r="E744" s="70">
        <v>42269</v>
      </c>
      <c r="F744" s="62" t="s">
        <v>276</v>
      </c>
      <c r="G744" s="19" t="s">
        <v>151</v>
      </c>
      <c r="H744" s="178" t="s">
        <v>145</v>
      </c>
      <c r="I744" s="57" t="s">
        <v>124</v>
      </c>
      <c r="J744" s="15">
        <v>14200</v>
      </c>
      <c r="K744" s="15">
        <v>1000</v>
      </c>
      <c r="L744" s="15">
        <f t="shared" si="165"/>
        <v>14200000</v>
      </c>
      <c r="M744" s="15"/>
      <c r="N744" s="15">
        <f t="shared" si="166"/>
        <v>0</v>
      </c>
      <c r="O744" s="15" t="str">
        <f>IF(AND(A744='BANG KE NL'!$M$11,TH!C744="NL",LEFT(D744,1)="N"),"x","")</f>
        <v/>
      </c>
    </row>
    <row r="745" spans="1:15" hidden="1">
      <c r="A745" s="24">
        <f t="shared" si="169"/>
        <v>9</v>
      </c>
      <c r="B745" s="176" t="str">
        <f>IF(AND(MONTH(E745)='IN-NX'!$J$5,'IN-NX'!$D$7=(D745&amp;"/"&amp;C745)),"x","")</f>
        <v/>
      </c>
      <c r="C745" s="173" t="s">
        <v>224</v>
      </c>
      <c r="D745" s="173" t="s">
        <v>215</v>
      </c>
      <c r="E745" s="70">
        <v>42269</v>
      </c>
      <c r="F745" s="62" t="s">
        <v>392</v>
      </c>
      <c r="G745" s="19" t="s">
        <v>151</v>
      </c>
      <c r="H745" s="178" t="s">
        <v>145</v>
      </c>
      <c r="I745" s="57" t="s">
        <v>124</v>
      </c>
      <c r="J745" s="15">
        <v>11400</v>
      </c>
      <c r="K745" s="15">
        <v>400</v>
      </c>
      <c r="L745" s="15">
        <f t="shared" ref="L745" si="170">ROUND(J745*K745,0)</f>
        <v>4560000</v>
      </c>
      <c r="M745" s="15"/>
      <c r="N745" s="15">
        <f t="shared" ref="N745" si="171">ROUND(J745*M745,0)</f>
        <v>0</v>
      </c>
      <c r="O745" s="15" t="str">
        <f>IF(AND(A745='BANG KE NL'!$M$11,TH!C745="NL",LEFT(D745,1)="N"),"x","")</f>
        <v/>
      </c>
    </row>
    <row r="746" spans="1:15" hidden="1">
      <c r="A746" s="24">
        <f t="shared" si="169"/>
        <v>9</v>
      </c>
      <c r="B746" s="176" t="str">
        <f>IF(AND(MONTH(E746)='IN-NX'!$J$5,'IN-NX'!$D$7=(D746&amp;"/"&amp;C746)),"x","")</f>
        <v/>
      </c>
      <c r="C746" s="173" t="s">
        <v>224</v>
      </c>
      <c r="D746" s="173" t="s">
        <v>216</v>
      </c>
      <c r="E746" s="70">
        <v>42271</v>
      </c>
      <c r="F746" s="62" t="s">
        <v>38</v>
      </c>
      <c r="G746" s="19" t="s">
        <v>275</v>
      </c>
      <c r="H746" s="178" t="s">
        <v>145</v>
      </c>
      <c r="I746" s="57" t="s">
        <v>124</v>
      </c>
      <c r="J746" s="15">
        <v>8500</v>
      </c>
      <c r="K746" s="15">
        <v>600</v>
      </c>
      <c r="L746" s="15">
        <f t="shared" ref="L746" si="172">ROUND(J746*K746,0)</f>
        <v>5100000</v>
      </c>
      <c r="M746" s="15"/>
      <c r="N746" s="15">
        <f t="shared" ref="N746" si="173">ROUND(J746*M746,0)</f>
        <v>0</v>
      </c>
      <c r="O746" s="15" t="str">
        <f>IF(AND(A746='BANG KE NL'!$M$11,TH!C746="NL",LEFT(D746,1)="N"),"x","")</f>
        <v/>
      </c>
    </row>
    <row r="747" spans="1:15" hidden="1">
      <c r="A747" s="24">
        <f t="shared" si="169"/>
        <v>9</v>
      </c>
      <c r="B747" s="176" t="str">
        <f>IF(AND(MONTH(E747)='IN-NX'!$J$5,'IN-NX'!$D$7=(D747&amp;"/"&amp;C747)),"x","")</f>
        <v/>
      </c>
      <c r="C747" s="173" t="s">
        <v>224</v>
      </c>
      <c r="D747" s="173" t="s">
        <v>220</v>
      </c>
      <c r="E747" s="70">
        <v>42251</v>
      </c>
      <c r="F747" s="62" t="s">
        <v>39</v>
      </c>
      <c r="G747" s="19" t="s">
        <v>229</v>
      </c>
      <c r="H747" s="200" t="s">
        <v>97</v>
      </c>
      <c r="I747" s="57" t="s">
        <v>145</v>
      </c>
      <c r="J747" s="15">
        <v>31000</v>
      </c>
      <c r="K747" s="15"/>
      <c r="L747" s="15">
        <f t="shared" si="165"/>
        <v>0</v>
      </c>
      <c r="M747" s="15">
        <v>150</v>
      </c>
      <c r="N747" s="15">
        <f t="shared" si="166"/>
        <v>4650000</v>
      </c>
      <c r="O747" s="15" t="str">
        <f>IF(AND(A747='BANG KE NL'!$M$11,TH!C747="NL",LEFT(D747,1)="N"),"x","")</f>
        <v/>
      </c>
    </row>
    <row r="748" spans="1:15" hidden="1">
      <c r="A748" s="24">
        <f t="shared" si="169"/>
        <v>9</v>
      </c>
      <c r="B748" s="176" t="str">
        <f>IF(AND(MONTH(E748)='IN-NX'!$J$5,'IN-NX'!$D$7=(D748&amp;"/"&amp;C748)),"x","")</f>
        <v/>
      </c>
      <c r="C748" s="173" t="s">
        <v>224</v>
      </c>
      <c r="D748" s="173" t="s">
        <v>220</v>
      </c>
      <c r="E748" s="70">
        <v>42251</v>
      </c>
      <c r="F748" s="62" t="s">
        <v>49</v>
      </c>
      <c r="G748" s="19" t="s">
        <v>229</v>
      </c>
      <c r="H748" s="200" t="s">
        <v>97</v>
      </c>
      <c r="I748" s="57" t="s">
        <v>145</v>
      </c>
      <c r="J748" s="15">
        <v>46741.2</v>
      </c>
      <c r="K748" s="15"/>
      <c r="L748" s="15">
        <f t="shared" si="165"/>
        <v>0</v>
      </c>
      <c r="M748" s="15">
        <v>125</v>
      </c>
      <c r="N748" s="15">
        <f t="shared" si="166"/>
        <v>5842650</v>
      </c>
      <c r="O748" s="15" t="str">
        <f>IF(AND(A748='BANG KE NL'!$M$11,TH!C748="NL",LEFT(D748,1)="N"),"x","")</f>
        <v/>
      </c>
    </row>
    <row r="749" spans="1:15" hidden="1">
      <c r="A749" s="24">
        <f t="shared" si="169"/>
        <v>9</v>
      </c>
      <c r="B749" s="176" t="str">
        <f>IF(AND(MONTH(E749)='IN-NX'!$J$5,'IN-NX'!$D$7=(D749&amp;"/"&amp;C749)),"x","")</f>
        <v/>
      </c>
      <c r="C749" s="173" t="s">
        <v>224</v>
      </c>
      <c r="D749" s="173" t="s">
        <v>220</v>
      </c>
      <c r="E749" s="70">
        <v>42251</v>
      </c>
      <c r="F749" s="62" t="s">
        <v>40</v>
      </c>
      <c r="G749" s="19" t="s">
        <v>229</v>
      </c>
      <c r="H749" s="200" t="s">
        <v>97</v>
      </c>
      <c r="I749" s="57" t="s">
        <v>145</v>
      </c>
      <c r="J749" s="15">
        <v>11666.666999999999</v>
      </c>
      <c r="K749" s="15"/>
      <c r="L749" s="15">
        <f t="shared" ref="L749:L812" si="174">ROUND(J749*K749,0)</f>
        <v>0</v>
      </c>
      <c r="M749" s="15">
        <v>150</v>
      </c>
      <c r="N749" s="15">
        <f t="shared" ref="N749:N812" si="175">ROUND(J749*M749,0)</f>
        <v>1750000</v>
      </c>
      <c r="O749" s="15" t="str">
        <f>IF(AND(A749='BANG KE NL'!$M$11,TH!C749="NL",LEFT(D749,1)="N"),"x","")</f>
        <v/>
      </c>
    </row>
    <row r="750" spans="1:15" hidden="1">
      <c r="A750" s="24">
        <f t="shared" si="169"/>
        <v>9</v>
      </c>
      <c r="B750" s="176" t="str">
        <f>IF(AND(MONTH(E750)='IN-NX'!$J$5,'IN-NX'!$D$7=(D750&amp;"/"&amp;C750)),"x","")</f>
        <v/>
      </c>
      <c r="C750" s="173" t="s">
        <v>224</v>
      </c>
      <c r="D750" s="173" t="s">
        <v>221</v>
      </c>
      <c r="E750" s="70">
        <v>42254</v>
      </c>
      <c r="F750" s="62" t="s">
        <v>66</v>
      </c>
      <c r="G750" s="19" t="s">
        <v>229</v>
      </c>
      <c r="H750" s="200" t="s">
        <v>97</v>
      </c>
      <c r="I750" s="57" t="s">
        <v>145</v>
      </c>
      <c r="J750" s="15">
        <v>21131.31</v>
      </c>
      <c r="K750" s="15"/>
      <c r="L750" s="15">
        <f t="shared" si="174"/>
        <v>0</v>
      </c>
      <c r="M750" s="15">
        <v>100</v>
      </c>
      <c r="N750" s="15">
        <f t="shared" si="175"/>
        <v>2113131</v>
      </c>
      <c r="O750" s="15" t="str">
        <f>IF(AND(A750='BANG KE NL'!$M$11,TH!C750="NL",LEFT(D750,1)="N"),"x","")</f>
        <v/>
      </c>
    </row>
    <row r="751" spans="1:15" hidden="1">
      <c r="A751" s="24">
        <f t="shared" si="169"/>
        <v>9</v>
      </c>
      <c r="B751" s="176" t="str">
        <f>IF(AND(MONTH(E751)='IN-NX'!$J$5,'IN-NX'!$D$7=(D751&amp;"/"&amp;C751)),"x","")</f>
        <v/>
      </c>
      <c r="C751" s="173" t="s">
        <v>224</v>
      </c>
      <c r="D751" s="173" t="s">
        <v>221</v>
      </c>
      <c r="E751" s="70">
        <v>42254</v>
      </c>
      <c r="F751" s="62" t="s">
        <v>41</v>
      </c>
      <c r="G751" s="19" t="s">
        <v>229</v>
      </c>
      <c r="H751" s="200" t="s">
        <v>97</v>
      </c>
      <c r="I751" s="57" t="s">
        <v>145</v>
      </c>
      <c r="J751" s="15">
        <v>3500</v>
      </c>
      <c r="K751" s="15"/>
      <c r="L751" s="15">
        <f t="shared" si="174"/>
        <v>0</v>
      </c>
      <c r="M751" s="15">
        <v>100</v>
      </c>
      <c r="N751" s="15">
        <f t="shared" si="175"/>
        <v>350000</v>
      </c>
      <c r="O751" s="15" t="str">
        <f>IF(AND(A751='BANG KE NL'!$M$11,TH!C751="NL",LEFT(D751,1)="N"),"x","")</f>
        <v/>
      </c>
    </row>
    <row r="752" spans="1:15" hidden="1">
      <c r="A752" s="24">
        <f t="shared" si="169"/>
        <v>9</v>
      </c>
      <c r="B752" s="176" t="str">
        <f>IF(AND(MONTH(E752)='IN-NX'!$J$5,'IN-NX'!$D$7=(D752&amp;"/"&amp;C752)),"x","")</f>
        <v/>
      </c>
      <c r="C752" s="173" t="s">
        <v>224</v>
      </c>
      <c r="D752" s="173" t="s">
        <v>221</v>
      </c>
      <c r="E752" s="70">
        <v>42254</v>
      </c>
      <c r="F752" s="62" t="s">
        <v>108</v>
      </c>
      <c r="G752" s="19" t="s">
        <v>229</v>
      </c>
      <c r="H752" s="200" t="s">
        <v>97</v>
      </c>
      <c r="I752" s="57" t="s">
        <v>145</v>
      </c>
      <c r="J752" s="15">
        <v>3000</v>
      </c>
      <c r="K752" s="15"/>
      <c r="L752" s="15">
        <f t="shared" si="174"/>
        <v>0</v>
      </c>
      <c r="M752" s="15">
        <v>200</v>
      </c>
      <c r="N752" s="15">
        <f t="shared" si="175"/>
        <v>600000</v>
      </c>
      <c r="O752" s="15" t="str">
        <f>IF(AND(A752='BANG KE NL'!$M$11,TH!C752="NL",LEFT(D752,1)="N"),"x","")</f>
        <v/>
      </c>
    </row>
    <row r="753" spans="1:15" hidden="1">
      <c r="A753" s="24">
        <f t="shared" si="169"/>
        <v>9</v>
      </c>
      <c r="B753" s="176" t="str">
        <f>IF(AND(MONTH(E753)='IN-NX'!$J$5,'IN-NX'!$D$7=(D753&amp;"/"&amp;C753)),"x","")</f>
        <v/>
      </c>
      <c r="C753" s="173" t="s">
        <v>224</v>
      </c>
      <c r="D753" s="173" t="s">
        <v>222</v>
      </c>
      <c r="E753" s="70">
        <v>42256</v>
      </c>
      <c r="F753" s="62" t="s">
        <v>110</v>
      </c>
      <c r="G753" s="19" t="s">
        <v>229</v>
      </c>
      <c r="H753" s="200" t="s">
        <v>97</v>
      </c>
      <c r="I753" s="57" t="s">
        <v>145</v>
      </c>
      <c r="J753" s="15">
        <v>14300</v>
      </c>
      <c r="K753" s="15"/>
      <c r="L753" s="15">
        <f t="shared" si="174"/>
        <v>0</v>
      </c>
      <c r="M753" s="15">
        <v>1800</v>
      </c>
      <c r="N753" s="15">
        <f t="shared" si="175"/>
        <v>25740000</v>
      </c>
      <c r="O753" s="15" t="str">
        <f>IF(AND(A753='BANG KE NL'!$M$11,TH!C753="NL",LEFT(D753,1)="N"),"x","")</f>
        <v/>
      </c>
    </row>
    <row r="754" spans="1:15" hidden="1">
      <c r="A754" s="24">
        <f t="shared" si="169"/>
        <v>9</v>
      </c>
      <c r="B754" s="176" t="str">
        <f>IF(AND(MONTH(E754)='IN-NX'!$J$5,'IN-NX'!$D$7=(D754&amp;"/"&amp;C754)),"x","")</f>
        <v/>
      </c>
      <c r="C754" s="173" t="s">
        <v>224</v>
      </c>
      <c r="D754" s="173" t="s">
        <v>222</v>
      </c>
      <c r="E754" s="70">
        <v>42256</v>
      </c>
      <c r="F754" s="62" t="s">
        <v>38</v>
      </c>
      <c r="G754" s="19" t="s">
        <v>229</v>
      </c>
      <c r="H754" s="200" t="s">
        <v>97</v>
      </c>
      <c r="I754" s="57" t="s">
        <v>145</v>
      </c>
      <c r="J754" s="15">
        <v>8500</v>
      </c>
      <c r="K754" s="15"/>
      <c r="L754" s="15">
        <f t="shared" si="174"/>
        <v>0</v>
      </c>
      <c r="M754" s="15">
        <v>150</v>
      </c>
      <c r="N754" s="15">
        <f t="shared" si="175"/>
        <v>1275000</v>
      </c>
      <c r="O754" s="15" t="str">
        <f>IF(AND(A754='BANG KE NL'!$M$11,TH!C754="NL",LEFT(D754,1)="N"),"x","")</f>
        <v/>
      </c>
    </row>
    <row r="755" spans="1:15" hidden="1">
      <c r="A755" s="24">
        <f t="shared" si="169"/>
        <v>9</v>
      </c>
      <c r="B755" s="176" t="str">
        <f>IF(AND(MONTH(E755)='IN-NX'!$J$5,'IN-NX'!$D$7=(D755&amp;"/"&amp;C755)),"x","")</f>
        <v/>
      </c>
      <c r="C755" s="173" t="s">
        <v>224</v>
      </c>
      <c r="D755" s="173" t="s">
        <v>222</v>
      </c>
      <c r="E755" s="70">
        <v>42256</v>
      </c>
      <c r="F755" s="62" t="s">
        <v>54</v>
      </c>
      <c r="G755" s="19" t="s">
        <v>229</v>
      </c>
      <c r="H755" s="200" t="s">
        <v>97</v>
      </c>
      <c r="I755" s="57" t="s">
        <v>145</v>
      </c>
      <c r="J755" s="15">
        <v>323.05080427144196</v>
      </c>
      <c r="K755" s="15"/>
      <c r="L755" s="15">
        <f t="shared" si="174"/>
        <v>0</v>
      </c>
      <c r="M755" s="15">
        <v>5000</v>
      </c>
      <c r="N755" s="15">
        <f t="shared" si="175"/>
        <v>1615254</v>
      </c>
      <c r="O755" s="15" t="str">
        <f>IF(AND(A755='BANG KE NL'!$M$11,TH!C755="NL",LEFT(D755,1)="N"),"x","")</f>
        <v/>
      </c>
    </row>
    <row r="756" spans="1:15" hidden="1">
      <c r="A756" s="24">
        <f t="shared" si="169"/>
        <v>9</v>
      </c>
      <c r="B756" s="176" t="str">
        <f>IF(AND(MONTH(E756)='IN-NX'!$J$5,'IN-NX'!$D$7=(D756&amp;"/"&amp;C756)),"x","")</f>
        <v/>
      </c>
      <c r="C756" s="173" t="s">
        <v>224</v>
      </c>
      <c r="D756" s="173" t="s">
        <v>222</v>
      </c>
      <c r="E756" s="70">
        <v>42256</v>
      </c>
      <c r="F756" s="62" t="s">
        <v>58</v>
      </c>
      <c r="G756" s="19" t="s">
        <v>229</v>
      </c>
      <c r="H756" s="200" t="s">
        <v>97</v>
      </c>
      <c r="I756" s="57" t="s">
        <v>145</v>
      </c>
      <c r="J756" s="15">
        <v>34000</v>
      </c>
      <c r="K756" s="15"/>
      <c r="L756" s="15">
        <f t="shared" si="174"/>
        <v>0</v>
      </c>
      <c r="M756" s="15">
        <v>195</v>
      </c>
      <c r="N756" s="15">
        <f t="shared" si="175"/>
        <v>6630000</v>
      </c>
      <c r="O756" s="15" t="str">
        <f>IF(AND(A756='BANG KE NL'!$M$11,TH!C756="NL",LEFT(D756,1)="N"),"x","")</f>
        <v/>
      </c>
    </row>
    <row r="757" spans="1:15" hidden="1">
      <c r="A757" s="24">
        <f t="shared" si="169"/>
        <v>9</v>
      </c>
      <c r="B757" s="176" t="str">
        <f>IF(AND(MONTH(E757)='IN-NX'!$J$5,'IN-NX'!$D$7=(D757&amp;"/"&amp;C757)),"x","")</f>
        <v/>
      </c>
      <c r="C757" s="173" t="s">
        <v>224</v>
      </c>
      <c r="D757" s="173" t="s">
        <v>223</v>
      </c>
      <c r="E757" s="70">
        <v>42262</v>
      </c>
      <c r="F757" s="62" t="s">
        <v>276</v>
      </c>
      <c r="G757" s="19" t="s">
        <v>229</v>
      </c>
      <c r="H757" s="200" t="s">
        <v>97</v>
      </c>
      <c r="I757" s="57" t="s">
        <v>145</v>
      </c>
      <c r="J757" s="15">
        <v>12000</v>
      </c>
      <c r="K757" s="15"/>
      <c r="L757" s="15">
        <f t="shared" si="174"/>
        <v>0</v>
      </c>
      <c r="M757" s="15">
        <v>400</v>
      </c>
      <c r="N757" s="15">
        <f t="shared" si="175"/>
        <v>4800000</v>
      </c>
      <c r="O757" s="15" t="str">
        <f>IF(AND(A757='BANG KE NL'!$M$11,TH!C757="NL",LEFT(D757,1)="N"),"x","")</f>
        <v/>
      </c>
    </row>
    <row r="758" spans="1:15" hidden="1">
      <c r="A758" s="24">
        <f t="shared" si="169"/>
        <v>9</v>
      </c>
      <c r="B758" s="176" t="str">
        <f>IF(AND(MONTH(E758)='IN-NX'!$J$5,'IN-NX'!$D$7=(D758&amp;"/"&amp;C758)),"x","")</f>
        <v/>
      </c>
      <c r="C758" s="173" t="s">
        <v>224</v>
      </c>
      <c r="D758" s="173" t="s">
        <v>230</v>
      </c>
      <c r="E758" s="70">
        <v>42275</v>
      </c>
      <c r="F758" s="62" t="s">
        <v>276</v>
      </c>
      <c r="G758" s="19" t="s">
        <v>229</v>
      </c>
      <c r="H758" s="200" t="s">
        <v>97</v>
      </c>
      <c r="I758" s="57" t="s">
        <v>145</v>
      </c>
      <c r="J758" s="15">
        <v>14200</v>
      </c>
      <c r="K758" s="15"/>
      <c r="L758" s="15">
        <f t="shared" si="174"/>
        <v>0</v>
      </c>
      <c r="M758" s="15">
        <v>1000</v>
      </c>
      <c r="N758" s="15">
        <f t="shared" si="175"/>
        <v>14200000</v>
      </c>
      <c r="O758" s="15" t="str">
        <f>IF(AND(A758='BANG KE NL'!$M$11,TH!C758="NL",LEFT(D758,1)="N"),"x","")</f>
        <v/>
      </c>
    </row>
    <row r="759" spans="1:15" hidden="1">
      <c r="A759" s="24">
        <f t="shared" si="169"/>
        <v>9</v>
      </c>
      <c r="B759" s="176" t="str">
        <f>IF(AND(MONTH(E759)='IN-NX'!$J$5,'IN-NX'!$D$7=(D759&amp;"/"&amp;C759)),"x","")</f>
        <v/>
      </c>
      <c r="C759" s="173" t="s">
        <v>224</v>
      </c>
      <c r="D759" s="173" t="s">
        <v>230</v>
      </c>
      <c r="E759" s="70">
        <v>42275</v>
      </c>
      <c r="F759" s="62" t="s">
        <v>392</v>
      </c>
      <c r="G759" s="19" t="s">
        <v>229</v>
      </c>
      <c r="H759" s="200" t="s">
        <v>97</v>
      </c>
      <c r="I759" s="57" t="s">
        <v>145</v>
      </c>
      <c r="J759" s="15">
        <v>11400</v>
      </c>
      <c r="K759" s="15"/>
      <c r="L759" s="15">
        <f t="shared" si="174"/>
        <v>0</v>
      </c>
      <c r="M759" s="15">
        <v>400</v>
      </c>
      <c r="N759" s="15">
        <f t="shared" si="175"/>
        <v>4560000</v>
      </c>
      <c r="O759" s="15" t="str">
        <f>IF(AND(A759='BANG KE NL'!$M$11,TH!C759="NL",LEFT(D759,1)="N"),"x","")</f>
        <v/>
      </c>
    </row>
    <row r="760" spans="1:15" hidden="1">
      <c r="A760" s="24">
        <f t="shared" si="169"/>
        <v>10</v>
      </c>
      <c r="B760" s="176" t="str">
        <f>IF(AND(MONTH(E760)='IN-NX'!$J$5,'IN-NX'!$D$7=(D760&amp;"/"&amp;C760)),"x","")</f>
        <v/>
      </c>
      <c r="C760" s="173" t="s">
        <v>224</v>
      </c>
      <c r="D760" s="173" t="s">
        <v>214</v>
      </c>
      <c r="E760" s="70">
        <v>42296</v>
      </c>
      <c r="F760" s="62" t="s">
        <v>110</v>
      </c>
      <c r="G760" s="19" t="s">
        <v>384</v>
      </c>
      <c r="H760" s="200" t="s">
        <v>145</v>
      </c>
      <c r="I760" s="57" t="s">
        <v>124</v>
      </c>
      <c r="J760" s="15">
        <v>14900</v>
      </c>
      <c r="K760" s="15">
        <v>5400</v>
      </c>
      <c r="L760" s="15">
        <f t="shared" si="174"/>
        <v>80460000</v>
      </c>
      <c r="M760" s="15"/>
      <c r="N760" s="15">
        <f t="shared" si="175"/>
        <v>0</v>
      </c>
      <c r="O760" s="15" t="str">
        <f>IF(AND(A760='BANG KE NL'!$M$11,TH!C760="NL",LEFT(D760,1)="N"),"x","")</f>
        <v/>
      </c>
    </row>
    <row r="761" spans="1:15" hidden="1">
      <c r="A761" s="24">
        <f t="shared" si="169"/>
        <v>10</v>
      </c>
      <c r="B761" s="176" t="str">
        <f>IF(AND(MONTH(E761)='IN-NX'!$J$5,'IN-NX'!$D$7=(D761&amp;"/"&amp;C761)),"x","")</f>
        <v/>
      </c>
      <c r="C761" s="173" t="s">
        <v>224</v>
      </c>
      <c r="D761" s="173" t="s">
        <v>215</v>
      </c>
      <c r="E761" s="70">
        <v>42301</v>
      </c>
      <c r="F761" s="62" t="s">
        <v>276</v>
      </c>
      <c r="G761" s="19" t="s">
        <v>151</v>
      </c>
      <c r="H761" s="200" t="s">
        <v>145</v>
      </c>
      <c r="I761" s="57" t="s">
        <v>124</v>
      </c>
      <c r="J761" s="15">
        <v>12000</v>
      </c>
      <c r="K761" s="15">
        <v>680</v>
      </c>
      <c r="L761" s="15">
        <f t="shared" si="174"/>
        <v>8160000</v>
      </c>
      <c r="M761" s="15"/>
      <c r="N761" s="15">
        <f t="shared" si="175"/>
        <v>0</v>
      </c>
      <c r="O761" s="15" t="str">
        <f>IF(AND(A761='BANG KE NL'!$M$11,TH!C761="NL",LEFT(D761,1)="N"),"x","")</f>
        <v/>
      </c>
    </row>
    <row r="762" spans="1:15" hidden="1">
      <c r="A762" s="24">
        <f t="shared" si="169"/>
        <v>10</v>
      </c>
      <c r="B762" s="176" t="str">
        <f>IF(AND(MONTH(E762)='IN-NX'!$J$5,'IN-NX'!$D$7=(D762&amp;"/"&amp;C762)),"x","")</f>
        <v/>
      </c>
      <c r="C762" s="173" t="s">
        <v>224</v>
      </c>
      <c r="D762" s="173" t="s">
        <v>215</v>
      </c>
      <c r="E762" s="70">
        <v>42301</v>
      </c>
      <c r="F762" s="62" t="s">
        <v>390</v>
      </c>
      <c r="G762" s="19" t="s">
        <v>151</v>
      </c>
      <c r="H762" s="200" t="s">
        <v>145</v>
      </c>
      <c r="I762" s="57" t="s">
        <v>124</v>
      </c>
      <c r="J762" s="15">
        <v>12300</v>
      </c>
      <c r="K762" s="15">
        <v>900</v>
      </c>
      <c r="L762" s="15">
        <f t="shared" si="174"/>
        <v>11070000</v>
      </c>
      <c r="M762" s="15"/>
      <c r="N762" s="15">
        <f t="shared" si="175"/>
        <v>0</v>
      </c>
      <c r="O762" s="15" t="str">
        <f>IF(AND(A762='BANG KE NL'!$M$11,TH!C762="NL",LEFT(D762,1)="N"),"x","")</f>
        <v/>
      </c>
    </row>
    <row r="763" spans="1:15" hidden="1">
      <c r="A763" s="24">
        <f t="shared" si="169"/>
        <v>10</v>
      </c>
      <c r="B763" s="176" t="str">
        <f>IF(AND(MONTH(E763)='IN-NX'!$J$5,'IN-NX'!$D$7=(D763&amp;"/"&amp;C763)),"x","")</f>
        <v/>
      </c>
      <c r="C763" s="173" t="s">
        <v>224</v>
      </c>
      <c r="D763" s="173" t="s">
        <v>220</v>
      </c>
      <c r="E763" s="70">
        <v>42278</v>
      </c>
      <c r="F763" s="62" t="s">
        <v>39</v>
      </c>
      <c r="G763" s="19" t="s">
        <v>229</v>
      </c>
      <c r="H763" s="200" t="s">
        <v>97</v>
      </c>
      <c r="I763" s="57" t="s">
        <v>145</v>
      </c>
      <c r="J763" s="15">
        <v>31000</v>
      </c>
      <c r="K763" s="15"/>
      <c r="L763" s="15">
        <f t="shared" si="174"/>
        <v>0</v>
      </c>
      <c r="M763" s="15">
        <v>150</v>
      </c>
      <c r="N763" s="15">
        <f t="shared" si="175"/>
        <v>4650000</v>
      </c>
      <c r="O763" s="15" t="str">
        <f>IF(AND(A763='BANG KE NL'!$M$11,TH!C763="NL",LEFT(D763,1)="N"),"x","")</f>
        <v/>
      </c>
    </row>
    <row r="764" spans="1:15" hidden="1">
      <c r="A764" s="24">
        <f t="shared" si="169"/>
        <v>10</v>
      </c>
      <c r="B764" s="176" t="str">
        <f>IF(AND(MONTH(E764)='IN-NX'!$J$5,'IN-NX'!$D$7=(D764&amp;"/"&amp;C764)),"x","")</f>
        <v/>
      </c>
      <c r="C764" s="173" t="s">
        <v>224</v>
      </c>
      <c r="D764" s="173" t="s">
        <v>220</v>
      </c>
      <c r="E764" s="70">
        <v>42278</v>
      </c>
      <c r="F764" s="62" t="s">
        <v>49</v>
      </c>
      <c r="G764" s="19" t="s">
        <v>229</v>
      </c>
      <c r="H764" s="200" t="s">
        <v>97</v>
      </c>
      <c r="I764" s="57" t="s">
        <v>145</v>
      </c>
      <c r="J764" s="15">
        <v>46741.2</v>
      </c>
      <c r="K764" s="15"/>
      <c r="L764" s="15">
        <f t="shared" si="174"/>
        <v>0</v>
      </c>
      <c r="M764" s="15">
        <v>125</v>
      </c>
      <c r="N764" s="15">
        <f t="shared" si="175"/>
        <v>5842650</v>
      </c>
      <c r="O764" s="15" t="str">
        <f>IF(AND(A764='BANG KE NL'!$M$11,TH!C764="NL",LEFT(D764,1)="N"),"x","")</f>
        <v/>
      </c>
    </row>
    <row r="765" spans="1:15" hidden="1">
      <c r="A765" s="24">
        <f t="shared" si="169"/>
        <v>10</v>
      </c>
      <c r="B765" s="176" t="str">
        <f>IF(AND(MONTH(E765)='IN-NX'!$J$5,'IN-NX'!$D$7=(D765&amp;"/"&amp;C765)),"x","")</f>
        <v/>
      </c>
      <c r="C765" s="173" t="s">
        <v>224</v>
      </c>
      <c r="D765" s="173" t="s">
        <v>220</v>
      </c>
      <c r="E765" s="70">
        <v>42278</v>
      </c>
      <c r="F765" s="62" t="s">
        <v>40</v>
      </c>
      <c r="G765" s="19" t="s">
        <v>229</v>
      </c>
      <c r="H765" s="200" t="s">
        <v>97</v>
      </c>
      <c r="I765" s="57" t="s">
        <v>145</v>
      </c>
      <c r="J765" s="15">
        <v>11666.666999999999</v>
      </c>
      <c r="K765" s="15"/>
      <c r="L765" s="15">
        <f t="shared" si="174"/>
        <v>0</v>
      </c>
      <c r="M765" s="15">
        <v>150</v>
      </c>
      <c r="N765" s="15">
        <f t="shared" si="175"/>
        <v>1750000</v>
      </c>
      <c r="O765" s="15" t="str">
        <f>IF(AND(A765='BANG KE NL'!$M$11,TH!C765="NL",LEFT(D765,1)="N"),"x","")</f>
        <v/>
      </c>
    </row>
    <row r="766" spans="1:15" hidden="1">
      <c r="A766" s="24">
        <f t="shared" si="169"/>
        <v>10</v>
      </c>
      <c r="B766" s="176" t="str">
        <f>IF(AND(MONTH(E766)='IN-NX'!$J$5,'IN-NX'!$D$7=(D766&amp;"/"&amp;C766)),"x","")</f>
        <v/>
      </c>
      <c r="C766" s="173" t="s">
        <v>224</v>
      </c>
      <c r="D766" s="173" t="s">
        <v>221</v>
      </c>
      <c r="E766" s="70">
        <v>42282</v>
      </c>
      <c r="F766" s="62" t="s">
        <v>66</v>
      </c>
      <c r="G766" s="19" t="s">
        <v>229</v>
      </c>
      <c r="H766" s="200" t="s">
        <v>97</v>
      </c>
      <c r="I766" s="57" t="s">
        <v>145</v>
      </c>
      <c r="J766" s="15">
        <v>19797.98</v>
      </c>
      <c r="K766" s="15"/>
      <c r="L766" s="15">
        <f t="shared" si="174"/>
        <v>0</v>
      </c>
      <c r="M766" s="15">
        <v>135</v>
      </c>
      <c r="N766" s="15">
        <f t="shared" si="175"/>
        <v>2672727</v>
      </c>
      <c r="O766" s="15" t="str">
        <f>IF(AND(A766='BANG KE NL'!$M$11,TH!C766="NL",LEFT(D766,1)="N"),"x","")</f>
        <v/>
      </c>
    </row>
    <row r="767" spans="1:15" hidden="1">
      <c r="A767" s="24">
        <f t="shared" si="169"/>
        <v>10</v>
      </c>
      <c r="B767" s="176" t="str">
        <f>IF(AND(MONTH(E767)='IN-NX'!$J$5,'IN-NX'!$D$7=(D767&amp;"/"&amp;C767)),"x","")</f>
        <v/>
      </c>
      <c r="C767" s="173" t="s">
        <v>224</v>
      </c>
      <c r="D767" s="173" t="s">
        <v>221</v>
      </c>
      <c r="E767" s="70">
        <v>42282</v>
      </c>
      <c r="F767" s="62" t="s">
        <v>41</v>
      </c>
      <c r="G767" s="19" t="s">
        <v>229</v>
      </c>
      <c r="H767" s="200" t="s">
        <v>97</v>
      </c>
      <c r="I767" s="57" t="s">
        <v>145</v>
      </c>
      <c r="J767" s="15">
        <v>3500</v>
      </c>
      <c r="K767" s="15"/>
      <c r="L767" s="15">
        <f t="shared" si="174"/>
        <v>0</v>
      </c>
      <c r="M767" s="15">
        <v>100</v>
      </c>
      <c r="N767" s="15">
        <f t="shared" si="175"/>
        <v>350000</v>
      </c>
      <c r="O767" s="15" t="str">
        <f>IF(AND(A767='BANG KE NL'!$M$11,TH!C767="NL",LEFT(D767,1)="N"),"x","")</f>
        <v/>
      </c>
    </row>
    <row r="768" spans="1:15" hidden="1">
      <c r="A768" s="24">
        <f t="shared" si="169"/>
        <v>10</v>
      </c>
      <c r="B768" s="176" t="str">
        <f>IF(AND(MONTH(E768)='IN-NX'!$J$5,'IN-NX'!$D$7=(D768&amp;"/"&amp;C768)),"x","")</f>
        <v/>
      </c>
      <c r="C768" s="173" t="s">
        <v>224</v>
      </c>
      <c r="D768" s="173" t="s">
        <v>221</v>
      </c>
      <c r="E768" s="70">
        <v>42282</v>
      </c>
      <c r="F768" s="62" t="s">
        <v>108</v>
      </c>
      <c r="G768" s="19" t="s">
        <v>229</v>
      </c>
      <c r="H768" s="200" t="s">
        <v>97</v>
      </c>
      <c r="I768" s="57" t="s">
        <v>145</v>
      </c>
      <c r="J768" s="15">
        <v>3000</v>
      </c>
      <c r="K768" s="15"/>
      <c r="L768" s="15">
        <f t="shared" si="174"/>
        <v>0</v>
      </c>
      <c r="M768" s="15">
        <v>200</v>
      </c>
      <c r="N768" s="15">
        <f t="shared" si="175"/>
        <v>600000</v>
      </c>
      <c r="O768" s="15" t="str">
        <f>IF(AND(A768='BANG KE NL'!$M$11,TH!C768="NL",LEFT(D768,1)="N"),"x","")</f>
        <v/>
      </c>
    </row>
    <row r="769" spans="1:15" hidden="1">
      <c r="A769" s="24">
        <f t="shared" si="169"/>
        <v>10</v>
      </c>
      <c r="B769" s="176" t="str">
        <f>IF(AND(MONTH(E769)='IN-NX'!$J$5,'IN-NX'!$D$7=(D769&amp;"/"&amp;C769)),"x","")</f>
        <v/>
      </c>
      <c r="C769" s="173" t="s">
        <v>224</v>
      </c>
      <c r="D769" s="173" t="s">
        <v>222</v>
      </c>
      <c r="E769" s="70">
        <v>42284</v>
      </c>
      <c r="F769" s="62" t="s">
        <v>110</v>
      </c>
      <c r="G769" s="19" t="s">
        <v>229</v>
      </c>
      <c r="H769" s="200" t="s">
        <v>97</v>
      </c>
      <c r="I769" s="57" t="s">
        <v>145</v>
      </c>
      <c r="J769" s="15">
        <v>14300</v>
      </c>
      <c r="K769" s="15"/>
      <c r="L769" s="15">
        <f t="shared" si="174"/>
        <v>0</v>
      </c>
      <c r="M769" s="15">
        <v>1800</v>
      </c>
      <c r="N769" s="15">
        <f t="shared" si="175"/>
        <v>25740000</v>
      </c>
      <c r="O769" s="15" t="str">
        <f>IF(AND(A769='BANG KE NL'!$M$11,TH!C769="NL",LEFT(D769,1)="N"),"x","")</f>
        <v/>
      </c>
    </row>
    <row r="770" spans="1:15" hidden="1">
      <c r="A770" s="24">
        <f t="shared" si="169"/>
        <v>10</v>
      </c>
      <c r="B770" s="176" t="str">
        <f>IF(AND(MONTH(E770)='IN-NX'!$J$5,'IN-NX'!$D$7=(D770&amp;"/"&amp;C770)),"x","")</f>
        <v/>
      </c>
      <c r="C770" s="173" t="s">
        <v>224</v>
      </c>
      <c r="D770" s="173" t="s">
        <v>222</v>
      </c>
      <c r="E770" s="70">
        <v>42284</v>
      </c>
      <c r="F770" s="62" t="s">
        <v>38</v>
      </c>
      <c r="G770" s="19" t="s">
        <v>229</v>
      </c>
      <c r="H770" s="200" t="s">
        <v>97</v>
      </c>
      <c r="I770" s="57" t="s">
        <v>145</v>
      </c>
      <c r="J770" s="15">
        <v>8500</v>
      </c>
      <c r="K770" s="15"/>
      <c r="L770" s="15">
        <f t="shared" si="174"/>
        <v>0</v>
      </c>
      <c r="M770" s="15">
        <v>150</v>
      </c>
      <c r="N770" s="15">
        <f t="shared" si="175"/>
        <v>1275000</v>
      </c>
      <c r="O770" s="15" t="str">
        <f>IF(AND(A770='BANG KE NL'!$M$11,TH!C770="NL",LEFT(D770,1)="N"),"x","")</f>
        <v/>
      </c>
    </row>
    <row r="771" spans="1:15" hidden="1">
      <c r="A771" s="24">
        <f t="shared" si="169"/>
        <v>10</v>
      </c>
      <c r="B771" s="176" t="str">
        <f>IF(AND(MONTH(E771)='IN-NX'!$J$5,'IN-NX'!$D$7=(D771&amp;"/"&amp;C771)),"x","")</f>
        <v/>
      </c>
      <c r="C771" s="173" t="s">
        <v>224</v>
      </c>
      <c r="D771" s="173" t="s">
        <v>222</v>
      </c>
      <c r="E771" s="70">
        <v>42284</v>
      </c>
      <c r="F771" s="62" t="s">
        <v>54</v>
      </c>
      <c r="G771" s="19" t="s">
        <v>229</v>
      </c>
      <c r="H771" s="200" t="s">
        <v>97</v>
      </c>
      <c r="I771" s="57" t="s">
        <v>145</v>
      </c>
      <c r="J771" s="15">
        <v>323.05080427144196</v>
      </c>
      <c r="K771" s="15"/>
      <c r="L771" s="15">
        <f t="shared" si="174"/>
        <v>0</v>
      </c>
      <c r="M771" s="15">
        <v>5000</v>
      </c>
      <c r="N771" s="15">
        <f t="shared" si="175"/>
        <v>1615254</v>
      </c>
      <c r="O771" s="15" t="str">
        <f>IF(AND(A771='BANG KE NL'!$M$11,TH!C771="NL",LEFT(D771,1)="N"),"x","")</f>
        <v/>
      </c>
    </row>
    <row r="772" spans="1:15" hidden="1">
      <c r="A772" s="24">
        <f t="shared" si="169"/>
        <v>10</v>
      </c>
      <c r="B772" s="176" t="str">
        <f>IF(AND(MONTH(E772)='IN-NX'!$J$5,'IN-NX'!$D$7=(D772&amp;"/"&amp;C772)),"x","")</f>
        <v/>
      </c>
      <c r="C772" s="173" t="s">
        <v>224</v>
      </c>
      <c r="D772" s="173" t="s">
        <v>222</v>
      </c>
      <c r="E772" s="70">
        <v>42284</v>
      </c>
      <c r="F772" s="62" t="s">
        <v>58</v>
      </c>
      <c r="G772" s="19" t="s">
        <v>229</v>
      </c>
      <c r="H772" s="200" t="s">
        <v>97</v>
      </c>
      <c r="I772" s="57" t="s">
        <v>145</v>
      </c>
      <c r="J772" s="15">
        <v>34000</v>
      </c>
      <c r="K772" s="15"/>
      <c r="L772" s="15">
        <f t="shared" si="174"/>
        <v>0</v>
      </c>
      <c r="M772" s="15">
        <v>195</v>
      </c>
      <c r="N772" s="15">
        <f t="shared" si="175"/>
        <v>6630000</v>
      </c>
      <c r="O772" s="15" t="str">
        <f>IF(AND(A772='BANG KE NL'!$M$11,TH!C772="NL",LEFT(D772,1)="N"),"x","")</f>
        <v/>
      </c>
    </row>
    <row r="773" spans="1:15" hidden="1">
      <c r="A773" s="24">
        <f t="shared" si="169"/>
        <v>10</v>
      </c>
      <c r="B773" s="176" t="str">
        <f>IF(AND(MONTH(E773)='IN-NX'!$J$5,'IN-NX'!$D$7=(D773&amp;"/"&amp;C773)),"x","")</f>
        <v/>
      </c>
      <c r="C773" s="173" t="s">
        <v>224</v>
      </c>
      <c r="D773" s="173" t="s">
        <v>223</v>
      </c>
      <c r="E773" s="70">
        <v>42296</v>
      </c>
      <c r="F773" s="62" t="s">
        <v>101</v>
      </c>
      <c r="G773" s="19" t="s">
        <v>229</v>
      </c>
      <c r="H773" s="200" t="s">
        <v>97</v>
      </c>
      <c r="I773" s="57" t="s">
        <v>145</v>
      </c>
      <c r="J773" s="15">
        <v>17000</v>
      </c>
      <c r="K773" s="15"/>
      <c r="L773" s="15">
        <f t="shared" si="174"/>
        <v>0</v>
      </c>
      <c r="M773" s="15">
        <v>370</v>
      </c>
      <c r="N773" s="15">
        <f t="shared" si="175"/>
        <v>6290000</v>
      </c>
      <c r="O773" s="15" t="str">
        <f>IF(AND(A773='BANG KE NL'!$M$11,TH!C773="NL",LEFT(D773,1)="N"),"x","")</f>
        <v/>
      </c>
    </row>
    <row r="774" spans="1:15" hidden="1">
      <c r="A774" s="24">
        <f t="shared" si="169"/>
        <v>10</v>
      </c>
      <c r="B774" s="176" t="str">
        <f>IF(AND(MONTH(E774)='IN-NX'!$J$5,'IN-NX'!$D$7=(D774&amp;"/"&amp;C774)),"x","")</f>
        <v/>
      </c>
      <c r="C774" s="173" t="s">
        <v>224</v>
      </c>
      <c r="D774" s="173" t="s">
        <v>223</v>
      </c>
      <c r="E774" s="70">
        <v>42296</v>
      </c>
      <c r="F774" s="62" t="s">
        <v>380</v>
      </c>
      <c r="G774" s="19" t="s">
        <v>229</v>
      </c>
      <c r="H774" s="200" t="s">
        <v>97</v>
      </c>
      <c r="I774" s="57" t="s">
        <v>145</v>
      </c>
      <c r="J774" s="15">
        <v>2500</v>
      </c>
      <c r="K774" s="15"/>
      <c r="L774" s="15">
        <f t="shared" si="174"/>
        <v>0</v>
      </c>
      <c r="M774" s="15">
        <v>370</v>
      </c>
      <c r="N774" s="15">
        <f t="shared" si="175"/>
        <v>925000</v>
      </c>
      <c r="O774" s="15" t="str">
        <f>IF(AND(A774='BANG KE NL'!$M$11,TH!C774="NL",LEFT(D774,1)="N"),"x","")</f>
        <v/>
      </c>
    </row>
    <row r="775" spans="1:15" hidden="1">
      <c r="A775" s="24">
        <f t="shared" si="169"/>
        <v>10</v>
      </c>
      <c r="B775" s="176" t="str">
        <f>IF(AND(MONTH(E775)='IN-NX'!$J$5,'IN-NX'!$D$7=(D775&amp;"/"&amp;C775)),"x","")</f>
        <v/>
      </c>
      <c r="C775" s="173" t="s">
        <v>224</v>
      </c>
      <c r="D775" s="173" t="s">
        <v>230</v>
      </c>
      <c r="E775" s="70">
        <v>42307</v>
      </c>
      <c r="F775" s="62" t="s">
        <v>390</v>
      </c>
      <c r="G775" s="19" t="s">
        <v>229</v>
      </c>
      <c r="H775" s="200" t="s">
        <v>97</v>
      </c>
      <c r="I775" s="57" t="s">
        <v>145</v>
      </c>
      <c r="J775" s="15">
        <v>12300</v>
      </c>
      <c r="K775" s="15"/>
      <c r="L775" s="15">
        <f t="shared" si="174"/>
        <v>0</v>
      </c>
      <c r="M775" s="15">
        <v>900</v>
      </c>
      <c r="N775" s="15">
        <f t="shared" si="175"/>
        <v>11070000</v>
      </c>
      <c r="O775" s="15" t="str">
        <f>IF(AND(A775='BANG KE NL'!$M$11,TH!C775="NL",LEFT(D775,1)="N"),"x","")</f>
        <v/>
      </c>
    </row>
    <row r="776" spans="1:15" hidden="1">
      <c r="A776" s="24">
        <f t="shared" si="169"/>
        <v>10</v>
      </c>
      <c r="B776" s="176" t="str">
        <f>IF(AND(MONTH(E776)='IN-NX'!$J$5,'IN-NX'!$D$7=(D776&amp;"/"&amp;C776)),"x","")</f>
        <v/>
      </c>
      <c r="C776" s="173" t="s">
        <v>224</v>
      </c>
      <c r="D776" s="173" t="s">
        <v>230</v>
      </c>
      <c r="E776" s="70">
        <v>42307</v>
      </c>
      <c r="F776" s="62" t="s">
        <v>276</v>
      </c>
      <c r="G776" s="19" t="s">
        <v>229</v>
      </c>
      <c r="H776" s="200" t="s">
        <v>97</v>
      </c>
      <c r="I776" s="57" t="s">
        <v>145</v>
      </c>
      <c r="J776" s="15">
        <v>12000</v>
      </c>
      <c r="K776" s="15"/>
      <c r="L776" s="15">
        <f t="shared" si="174"/>
        <v>0</v>
      </c>
      <c r="M776" s="15">
        <v>380</v>
      </c>
      <c r="N776" s="15">
        <f t="shared" si="175"/>
        <v>4560000</v>
      </c>
      <c r="O776" s="15" t="str">
        <f>IF(AND(A776='BANG KE NL'!$M$11,TH!C776="NL",LEFT(D776,1)="N"),"x","")</f>
        <v/>
      </c>
    </row>
    <row r="777" spans="1:15" hidden="1">
      <c r="A777" s="24">
        <f t="shared" si="169"/>
        <v>10</v>
      </c>
      <c r="B777" s="176" t="str">
        <f>IF(AND(MONTH(E777)='IN-NX'!$J$5,'IN-NX'!$D$7=(D777&amp;"/"&amp;C777)),"x","")</f>
        <v/>
      </c>
      <c r="C777" s="173" t="s">
        <v>224</v>
      </c>
      <c r="D777" s="173" t="s">
        <v>230</v>
      </c>
      <c r="E777" s="70">
        <v>42307</v>
      </c>
      <c r="F777" s="62" t="s">
        <v>50</v>
      </c>
      <c r="G777" s="19" t="s">
        <v>229</v>
      </c>
      <c r="H777" s="200" t="s">
        <v>97</v>
      </c>
      <c r="I777" s="57" t="s">
        <v>145</v>
      </c>
      <c r="J777" s="15">
        <v>5950</v>
      </c>
      <c r="K777" s="15"/>
      <c r="L777" s="15">
        <f t="shared" si="174"/>
        <v>0</v>
      </c>
      <c r="M777" s="15">
        <v>1038</v>
      </c>
      <c r="N777" s="15">
        <f t="shared" si="175"/>
        <v>6176100</v>
      </c>
      <c r="O777" s="15" t="str">
        <f>IF(AND(A777='BANG KE NL'!$M$11,TH!C777="NL",LEFT(D777,1)="N"),"x","")</f>
        <v/>
      </c>
    </row>
    <row r="778" spans="1:15" hidden="1">
      <c r="A778" s="24">
        <f t="shared" si="169"/>
        <v>11</v>
      </c>
      <c r="B778" s="176" t="str">
        <f>IF(AND(MONTH(E778)='IN-NX'!$J$5,'IN-NX'!$D$7=(D778&amp;"/"&amp;C778)),"x","")</f>
        <v/>
      </c>
      <c r="C778" s="173" t="s">
        <v>224</v>
      </c>
      <c r="D778" s="173" t="s">
        <v>214</v>
      </c>
      <c r="E778" s="70">
        <v>42327</v>
      </c>
      <c r="F778" s="62" t="s">
        <v>276</v>
      </c>
      <c r="G778" s="19" t="s">
        <v>151</v>
      </c>
      <c r="H778" s="200" t="s">
        <v>145</v>
      </c>
      <c r="I778" s="57" t="s">
        <v>124</v>
      </c>
      <c r="J778" s="15">
        <v>12000</v>
      </c>
      <c r="K778" s="15">
        <v>255</v>
      </c>
      <c r="L778" s="15">
        <f t="shared" si="174"/>
        <v>3060000</v>
      </c>
      <c r="M778" s="15"/>
      <c r="N778" s="15">
        <f t="shared" si="175"/>
        <v>0</v>
      </c>
      <c r="O778" s="15" t="str">
        <f>IF(AND(A778='BANG KE NL'!$M$11,TH!C778="NL",LEFT(D778,1)="N"),"x","")</f>
        <v/>
      </c>
    </row>
    <row r="779" spans="1:15" hidden="1">
      <c r="A779" s="24">
        <f t="shared" ref="A779" si="176">IF(E779&lt;&gt;"",MONTH(E779),"")</f>
        <v>11</v>
      </c>
      <c r="B779" s="176" t="str">
        <f>IF(AND(MONTH(E779)='IN-NX'!$J$5,'IN-NX'!$D$7=(D779&amp;"/"&amp;C779)),"x","")</f>
        <v/>
      </c>
      <c r="C779" s="173" t="s">
        <v>224</v>
      </c>
      <c r="D779" s="173" t="s">
        <v>215</v>
      </c>
      <c r="E779" s="70">
        <v>42332</v>
      </c>
      <c r="F779" s="62" t="s">
        <v>397</v>
      </c>
      <c r="G779" s="19" t="s">
        <v>151</v>
      </c>
      <c r="H779" s="200" t="s">
        <v>145</v>
      </c>
      <c r="I779" s="57" t="s">
        <v>124</v>
      </c>
      <c r="J779" s="15">
        <v>21700</v>
      </c>
      <c r="K779" s="15">
        <v>450</v>
      </c>
      <c r="L779" s="15">
        <f t="shared" ref="L779" si="177">ROUND(J779*K779,0)</f>
        <v>9765000</v>
      </c>
      <c r="M779" s="15"/>
      <c r="N779" s="15">
        <f t="shared" ref="N779" si="178">ROUND(J779*M779,0)</f>
        <v>0</v>
      </c>
      <c r="O779" s="15" t="str">
        <f>IF(AND(A779='BANG KE NL'!$M$11,TH!C779="NL",LEFT(D779,1)="N"),"x","")</f>
        <v/>
      </c>
    </row>
    <row r="780" spans="1:15" hidden="1">
      <c r="A780" s="24">
        <f t="shared" ref="A780" si="179">IF(E780&lt;&gt;"",MONTH(E780),"")</f>
        <v>11</v>
      </c>
      <c r="B780" s="176" t="str">
        <f>IF(AND(MONTH(E780)='IN-NX'!$J$5,'IN-NX'!$D$7=(D780&amp;"/"&amp;C780)),"x","")</f>
        <v/>
      </c>
      <c r="C780" s="173" t="s">
        <v>224</v>
      </c>
      <c r="D780" s="173" t="s">
        <v>215</v>
      </c>
      <c r="E780" s="70">
        <v>42332</v>
      </c>
      <c r="F780" s="62" t="s">
        <v>100</v>
      </c>
      <c r="G780" s="19" t="s">
        <v>151</v>
      </c>
      <c r="H780" s="200" t="s">
        <v>145</v>
      </c>
      <c r="I780" s="57" t="s">
        <v>124</v>
      </c>
      <c r="J780" s="15">
        <v>20000</v>
      </c>
      <c r="K780" s="15">
        <v>133</v>
      </c>
      <c r="L780" s="15">
        <f t="shared" ref="L780" si="180">ROUND(J780*K780,0)</f>
        <v>2660000</v>
      </c>
      <c r="M780" s="15"/>
      <c r="N780" s="15">
        <f t="shared" ref="N780" si="181">ROUND(J780*M780,0)</f>
        <v>0</v>
      </c>
      <c r="O780" s="15" t="str">
        <f>IF(AND(A780='BANG KE NL'!$M$11,TH!C780="NL",LEFT(D780,1)="N"),"x","")</f>
        <v/>
      </c>
    </row>
    <row r="781" spans="1:15" hidden="1">
      <c r="A781" s="24">
        <f t="shared" ref="A781" si="182">IF(E781&lt;&gt;"",MONTH(E781),"")</f>
        <v>11</v>
      </c>
      <c r="B781" s="176" t="str">
        <f>IF(AND(MONTH(E781)='IN-NX'!$J$5,'IN-NX'!$D$7=(D781&amp;"/"&amp;C781)),"x","")</f>
        <v/>
      </c>
      <c r="C781" s="173" t="s">
        <v>224</v>
      </c>
      <c r="D781" s="173" t="s">
        <v>216</v>
      </c>
      <c r="E781" s="70">
        <v>42338</v>
      </c>
      <c r="F781" s="62" t="s">
        <v>102</v>
      </c>
      <c r="G781" s="19" t="s">
        <v>148</v>
      </c>
      <c r="H781" s="200" t="s">
        <v>145</v>
      </c>
      <c r="I781" s="57" t="s">
        <v>124</v>
      </c>
      <c r="J781" s="15">
        <v>5600</v>
      </c>
      <c r="K781" s="15">
        <v>720</v>
      </c>
      <c r="L781" s="15">
        <f t="shared" ref="L781" si="183">ROUND(J781*K781,0)</f>
        <v>4032000</v>
      </c>
      <c r="M781" s="15"/>
      <c r="N781" s="15">
        <f t="shared" ref="N781" si="184">ROUND(J781*M781,0)</f>
        <v>0</v>
      </c>
      <c r="O781" s="15" t="str">
        <f>IF(AND(A781='BANG KE NL'!$M$11,TH!C781="NL",LEFT(D781,1)="N"),"x","")</f>
        <v/>
      </c>
    </row>
    <row r="782" spans="1:15" hidden="1">
      <c r="A782" s="24">
        <f t="shared" ref="A782" si="185">IF(E782&lt;&gt;"",MONTH(E782),"")</f>
        <v>11</v>
      </c>
      <c r="B782" s="176" t="str">
        <f>IF(AND(MONTH(E782)='IN-NX'!$J$5,'IN-NX'!$D$7=(D782&amp;"/"&amp;C782)),"x","")</f>
        <v/>
      </c>
      <c r="C782" s="173" t="s">
        <v>224</v>
      </c>
      <c r="D782" s="173" t="s">
        <v>216</v>
      </c>
      <c r="E782" s="70">
        <v>42338</v>
      </c>
      <c r="F782" s="62" t="s">
        <v>102</v>
      </c>
      <c r="G782" s="19" t="s">
        <v>148</v>
      </c>
      <c r="H782" s="200" t="s">
        <v>145</v>
      </c>
      <c r="I782" s="57" t="s">
        <v>124</v>
      </c>
      <c r="J782" s="15">
        <v>6000</v>
      </c>
      <c r="K782" s="15">
        <v>2916</v>
      </c>
      <c r="L782" s="15">
        <f t="shared" ref="L782" si="186">ROUND(J782*K782,0)</f>
        <v>17496000</v>
      </c>
      <c r="M782" s="15"/>
      <c r="N782" s="15">
        <f t="shared" ref="N782" si="187">ROUND(J782*M782,0)</f>
        <v>0</v>
      </c>
      <c r="O782" s="15" t="str">
        <f>IF(AND(A782='BANG KE NL'!$M$11,TH!C782="NL",LEFT(D782,1)="N"),"x","")</f>
        <v/>
      </c>
    </row>
    <row r="783" spans="1:15" hidden="1">
      <c r="A783" s="24">
        <f t="shared" si="169"/>
        <v>11</v>
      </c>
      <c r="B783" s="176" t="str">
        <f>IF(AND(MONTH(E783)='IN-NX'!$J$5,'IN-NX'!$D$7=(D783&amp;"/"&amp;C783)),"x","")</f>
        <v/>
      </c>
      <c r="C783" s="173" t="s">
        <v>224</v>
      </c>
      <c r="D783" s="173" t="s">
        <v>220</v>
      </c>
      <c r="E783" s="70">
        <v>42309</v>
      </c>
      <c r="F783" s="62" t="s">
        <v>39</v>
      </c>
      <c r="G783" s="19" t="s">
        <v>229</v>
      </c>
      <c r="H783" s="200" t="s">
        <v>97</v>
      </c>
      <c r="I783" s="57" t="s">
        <v>145</v>
      </c>
      <c r="J783" s="15">
        <v>31000</v>
      </c>
      <c r="K783" s="15"/>
      <c r="L783" s="15">
        <f t="shared" si="174"/>
        <v>0</v>
      </c>
      <c r="M783" s="15">
        <v>150</v>
      </c>
      <c r="N783" s="15">
        <f t="shared" si="175"/>
        <v>4650000</v>
      </c>
      <c r="O783" s="15" t="str">
        <f>IF(AND(A783='BANG KE NL'!$M$11,TH!C783="NL",LEFT(D783,1)="N"),"x","")</f>
        <v/>
      </c>
    </row>
    <row r="784" spans="1:15" hidden="1">
      <c r="A784" s="24">
        <f t="shared" si="169"/>
        <v>11</v>
      </c>
      <c r="B784" s="176" t="str">
        <f>IF(AND(MONTH(E784)='IN-NX'!$J$5,'IN-NX'!$D$7=(D784&amp;"/"&amp;C784)),"x","")</f>
        <v/>
      </c>
      <c r="C784" s="173" t="s">
        <v>224</v>
      </c>
      <c r="D784" s="173" t="s">
        <v>220</v>
      </c>
      <c r="E784" s="70">
        <v>42309</v>
      </c>
      <c r="F784" s="62" t="s">
        <v>49</v>
      </c>
      <c r="G784" s="19" t="s">
        <v>229</v>
      </c>
      <c r="H784" s="200" t="s">
        <v>97</v>
      </c>
      <c r="I784" s="57" t="s">
        <v>145</v>
      </c>
      <c r="J784" s="15">
        <v>46741.2</v>
      </c>
      <c r="K784" s="15"/>
      <c r="L784" s="15">
        <f t="shared" si="174"/>
        <v>0</v>
      </c>
      <c r="M784" s="15">
        <v>125</v>
      </c>
      <c r="N784" s="15">
        <f t="shared" si="175"/>
        <v>5842650</v>
      </c>
      <c r="O784" s="15" t="str">
        <f>IF(AND(A784='BANG KE NL'!$M$11,TH!C784="NL",LEFT(D784,1)="N"),"x","")</f>
        <v/>
      </c>
    </row>
    <row r="785" spans="1:15" hidden="1">
      <c r="A785" s="24">
        <f t="shared" si="169"/>
        <v>11</v>
      </c>
      <c r="B785" s="176" t="str">
        <f>IF(AND(MONTH(E785)='IN-NX'!$J$5,'IN-NX'!$D$7=(D785&amp;"/"&amp;C785)),"x","")</f>
        <v/>
      </c>
      <c r="C785" s="173" t="s">
        <v>224</v>
      </c>
      <c r="D785" s="173" t="s">
        <v>220</v>
      </c>
      <c r="E785" s="70">
        <v>42309</v>
      </c>
      <c r="F785" s="62" t="s">
        <v>40</v>
      </c>
      <c r="G785" s="19" t="s">
        <v>229</v>
      </c>
      <c r="H785" s="200" t="s">
        <v>97</v>
      </c>
      <c r="I785" s="57" t="s">
        <v>145</v>
      </c>
      <c r="J785" s="15">
        <v>11666.666999999999</v>
      </c>
      <c r="K785" s="15"/>
      <c r="L785" s="15">
        <f t="shared" si="174"/>
        <v>0</v>
      </c>
      <c r="M785" s="15">
        <v>150</v>
      </c>
      <c r="N785" s="15">
        <f t="shared" si="175"/>
        <v>1750000</v>
      </c>
      <c r="O785" s="15" t="str">
        <f>IF(AND(A785='BANG KE NL'!$M$11,TH!C785="NL",LEFT(D785,1)="N"),"x","")</f>
        <v/>
      </c>
    </row>
    <row r="786" spans="1:15" hidden="1">
      <c r="A786" s="24">
        <f t="shared" si="169"/>
        <v>11</v>
      </c>
      <c r="B786" s="176" t="str">
        <f>IF(AND(MONTH(E786)='IN-NX'!$J$5,'IN-NX'!$D$7=(D786&amp;"/"&amp;C786)),"x","")</f>
        <v/>
      </c>
      <c r="C786" s="173" t="s">
        <v>224</v>
      </c>
      <c r="D786" s="173" t="s">
        <v>221</v>
      </c>
      <c r="E786" s="70">
        <v>42311</v>
      </c>
      <c r="F786" s="62" t="s">
        <v>66</v>
      </c>
      <c r="G786" s="19" t="s">
        <v>229</v>
      </c>
      <c r="H786" s="200" t="s">
        <v>97</v>
      </c>
      <c r="I786" s="57" t="s">
        <v>145</v>
      </c>
      <c r="J786" s="15">
        <v>19797.98</v>
      </c>
      <c r="K786" s="15"/>
      <c r="L786" s="15">
        <f t="shared" si="174"/>
        <v>0</v>
      </c>
      <c r="M786" s="15">
        <v>135</v>
      </c>
      <c r="N786" s="15">
        <f t="shared" si="175"/>
        <v>2672727</v>
      </c>
      <c r="O786" s="15" t="str">
        <f>IF(AND(A786='BANG KE NL'!$M$11,TH!C786="NL",LEFT(D786,1)="N"),"x","")</f>
        <v/>
      </c>
    </row>
    <row r="787" spans="1:15" hidden="1">
      <c r="A787" s="24">
        <f t="shared" si="169"/>
        <v>11</v>
      </c>
      <c r="B787" s="176" t="str">
        <f>IF(AND(MONTH(E787)='IN-NX'!$J$5,'IN-NX'!$D$7=(D787&amp;"/"&amp;C787)),"x","")</f>
        <v/>
      </c>
      <c r="C787" s="173" t="s">
        <v>224</v>
      </c>
      <c r="D787" s="173" t="s">
        <v>221</v>
      </c>
      <c r="E787" s="70">
        <v>42311</v>
      </c>
      <c r="F787" s="62" t="s">
        <v>41</v>
      </c>
      <c r="G787" s="19" t="s">
        <v>229</v>
      </c>
      <c r="H787" s="200" t="s">
        <v>97</v>
      </c>
      <c r="I787" s="57" t="s">
        <v>145</v>
      </c>
      <c r="J787" s="15">
        <v>3500</v>
      </c>
      <c r="K787" s="15"/>
      <c r="L787" s="15">
        <f t="shared" si="174"/>
        <v>0</v>
      </c>
      <c r="M787" s="15">
        <v>150</v>
      </c>
      <c r="N787" s="15">
        <f t="shared" si="175"/>
        <v>525000</v>
      </c>
      <c r="O787" s="15" t="str">
        <f>IF(AND(A787='BANG KE NL'!$M$11,TH!C787="NL",LEFT(D787,1)="N"),"x","")</f>
        <v/>
      </c>
    </row>
    <row r="788" spans="1:15" hidden="1">
      <c r="A788" s="24">
        <f t="shared" si="169"/>
        <v>11</v>
      </c>
      <c r="B788" s="176" t="str">
        <f>IF(AND(MONTH(E788)='IN-NX'!$J$5,'IN-NX'!$D$7=(D788&amp;"/"&amp;C788)),"x","")</f>
        <v/>
      </c>
      <c r="C788" s="173" t="s">
        <v>224</v>
      </c>
      <c r="D788" s="173" t="s">
        <v>221</v>
      </c>
      <c r="E788" s="70">
        <v>42311</v>
      </c>
      <c r="F788" s="62" t="s">
        <v>108</v>
      </c>
      <c r="G788" s="19" t="s">
        <v>229</v>
      </c>
      <c r="H788" s="200" t="s">
        <v>97</v>
      </c>
      <c r="I788" s="57" t="s">
        <v>145</v>
      </c>
      <c r="J788" s="15">
        <v>3000</v>
      </c>
      <c r="K788" s="15"/>
      <c r="L788" s="15">
        <f t="shared" si="174"/>
        <v>0</v>
      </c>
      <c r="M788" s="15">
        <v>200</v>
      </c>
      <c r="N788" s="15">
        <f t="shared" si="175"/>
        <v>600000</v>
      </c>
      <c r="O788" s="15" t="str">
        <f>IF(AND(A788='BANG KE NL'!$M$11,TH!C788="NL",LEFT(D788,1)="N"),"x","")</f>
        <v/>
      </c>
    </row>
    <row r="789" spans="1:15" hidden="1">
      <c r="A789" s="24">
        <f t="shared" si="169"/>
        <v>11</v>
      </c>
      <c r="B789" s="176" t="str">
        <f>IF(AND(MONTH(E789)='IN-NX'!$J$5,'IN-NX'!$D$7=(D789&amp;"/"&amp;C789)),"x","")</f>
        <v/>
      </c>
      <c r="C789" s="173" t="s">
        <v>224</v>
      </c>
      <c r="D789" s="173" t="s">
        <v>222</v>
      </c>
      <c r="E789" s="70">
        <v>42313</v>
      </c>
      <c r="F789" s="62" t="s">
        <v>110</v>
      </c>
      <c r="G789" s="19" t="s">
        <v>229</v>
      </c>
      <c r="H789" s="200" t="s">
        <v>97</v>
      </c>
      <c r="I789" s="57" t="s">
        <v>145</v>
      </c>
      <c r="J789" s="15">
        <v>14300</v>
      </c>
      <c r="K789" s="15"/>
      <c r="L789" s="15">
        <f t="shared" si="174"/>
        <v>0</v>
      </c>
      <c r="M789" s="15">
        <v>1800</v>
      </c>
      <c r="N789" s="15">
        <f t="shared" si="175"/>
        <v>25740000</v>
      </c>
      <c r="O789" s="15" t="str">
        <f>IF(AND(A789='BANG KE NL'!$M$11,TH!C789="NL",LEFT(D789,1)="N"),"x","")</f>
        <v/>
      </c>
    </row>
    <row r="790" spans="1:15" hidden="1">
      <c r="A790" s="24">
        <f t="shared" si="169"/>
        <v>11</v>
      </c>
      <c r="B790" s="176" t="str">
        <f>IF(AND(MONTH(E790)='IN-NX'!$J$5,'IN-NX'!$D$7=(D790&amp;"/"&amp;C790)),"x","")</f>
        <v/>
      </c>
      <c r="C790" s="173" t="s">
        <v>224</v>
      </c>
      <c r="D790" s="173" t="s">
        <v>222</v>
      </c>
      <c r="E790" s="70">
        <v>42313</v>
      </c>
      <c r="F790" s="62" t="s">
        <v>38</v>
      </c>
      <c r="G790" s="19" t="s">
        <v>229</v>
      </c>
      <c r="H790" s="200" t="s">
        <v>97</v>
      </c>
      <c r="I790" s="57" t="s">
        <v>145</v>
      </c>
      <c r="J790" s="15">
        <v>8500</v>
      </c>
      <c r="K790" s="15"/>
      <c r="L790" s="15">
        <f t="shared" si="174"/>
        <v>0</v>
      </c>
      <c r="M790" s="15">
        <v>150</v>
      </c>
      <c r="N790" s="15">
        <f t="shared" si="175"/>
        <v>1275000</v>
      </c>
      <c r="O790" s="15" t="str">
        <f>IF(AND(A790='BANG KE NL'!$M$11,TH!C790="NL",LEFT(D790,1)="N"),"x","")</f>
        <v/>
      </c>
    </row>
    <row r="791" spans="1:15" hidden="1">
      <c r="A791" s="24">
        <f t="shared" si="169"/>
        <v>11</v>
      </c>
      <c r="B791" s="176" t="str">
        <f>IF(AND(MONTH(E791)='IN-NX'!$J$5,'IN-NX'!$D$7=(D791&amp;"/"&amp;C791)),"x","")</f>
        <v/>
      </c>
      <c r="C791" s="173" t="s">
        <v>224</v>
      </c>
      <c r="D791" s="173" t="s">
        <v>222</v>
      </c>
      <c r="E791" s="70">
        <v>42313</v>
      </c>
      <c r="F791" s="62" t="s">
        <v>54</v>
      </c>
      <c r="G791" s="19" t="s">
        <v>229</v>
      </c>
      <c r="H791" s="200" t="s">
        <v>97</v>
      </c>
      <c r="I791" s="57" t="s">
        <v>145</v>
      </c>
      <c r="J791" s="15">
        <v>323.05080427144196</v>
      </c>
      <c r="K791" s="15"/>
      <c r="L791" s="15">
        <f t="shared" si="174"/>
        <v>0</v>
      </c>
      <c r="M791" s="15">
        <v>5000</v>
      </c>
      <c r="N791" s="15">
        <f t="shared" si="175"/>
        <v>1615254</v>
      </c>
      <c r="O791" s="15" t="str">
        <f>IF(AND(A791='BANG KE NL'!$M$11,TH!C791="NL",LEFT(D791,1)="N"),"x","")</f>
        <v/>
      </c>
    </row>
    <row r="792" spans="1:15" hidden="1">
      <c r="A792" s="24">
        <f t="shared" si="169"/>
        <v>11</v>
      </c>
      <c r="B792" s="176" t="str">
        <f>IF(AND(MONTH(E792)='IN-NX'!$J$5,'IN-NX'!$D$7=(D792&amp;"/"&amp;C792)),"x","")</f>
        <v/>
      </c>
      <c r="C792" s="173" t="s">
        <v>224</v>
      </c>
      <c r="D792" s="173" t="s">
        <v>222</v>
      </c>
      <c r="E792" s="70">
        <v>42313</v>
      </c>
      <c r="F792" s="62" t="s">
        <v>58</v>
      </c>
      <c r="G792" s="19" t="s">
        <v>229</v>
      </c>
      <c r="H792" s="200" t="s">
        <v>97</v>
      </c>
      <c r="I792" s="57" t="s">
        <v>145</v>
      </c>
      <c r="J792" s="15">
        <v>34000</v>
      </c>
      <c r="K792" s="15"/>
      <c r="L792" s="15">
        <f t="shared" si="174"/>
        <v>0</v>
      </c>
      <c r="M792" s="15">
        <v>135</v>
      </c>
      <c r="N792" s="15">
        <f t="shared" si="175"/>
        <v>4590000</v>
      </c>
      <c r="O792" s="15" t="str">
        <f>IF(AND(A792='BANG KE NL'!$M$11,TH!C792="NL",LEFT(D792,1)="N"),"x","")</f>
        <v/>
      </c>
    </row>
    <row r="793" spans="1:15" hidden="1">
      <c r="A793" s="24">
        <f t="shared" si="169"/>
        <v>11</v>
      </c>
      <c r="B793" s="176" t="str">
        <f>IF(AND(MONTH(E793)='IN-NX'!$J$5,'IN-NX'!$D$7=(D793&amp;"/"&amp;C793)),"x","")</f>
        <v/>
      </c>
      <c r="C793" s="173" t="s">
        <v>224</v>
      </c>
      <c r="D793" s="173" t="s">
        <v>222</v>
      </c>
      <c r="E793" s="70">
        <v>42313</v>
      </c>
      <c r="F793" s="62" t="s">
        <v>276</v>
      </c>
      <c r="G793" s="19" t="s">
        <v>229</v>
      </c>
      <c r="H793" s="200" t="s">
        <v>97</v>
      </c>
      <c r="I793" s="57" t="s">
        <v>145</v>
      </c>
      <c r="J793" s="15">
        <v>12000</v>
      </c>
      <c r="K793" s="15"/>
      <c r="L793" s="15">
        <f t="shared" si="174"/>
        <v>0</v>
      </c>
      <c r="M793" s="15">
        <v>555</v>
      </c>
      <c r="N793" s="15">
        <f t="shared" si="175"/>
        <v>6660000</v>
      </c>
      <c r="O793" s="15" t="str">
        <f>IF(AND(A793='BANG KE NL'!$M$11,TH!C793="NL",LEFT(D793,1)="N"),"x","")</f>
        <v/>
      </c>
    </row>
    <row r="794" spans="1:15" hidden="1">
      <c r="A794" s="24">
        <f t="shared" si="169"/>
        <v>11</v>
      </c>
      <c r="B794" s="176" t="str">
        <f>IF(AND(MONTH(E794)='IN-NX'!$J$5,'IN-NX'!$D$7=(D794&amp;"/"&amp;C794)),"x","")</f>
        <v/>
      </c>
      <c r="C794" s="173" t="s">
        <v>224</v>
      </c>
      <c r="D794" s="173" t="s">
        <v>230</v>
      </c>
      <c r="E794" s="70">
        <v>42333</v>
      </c>
      <c r="F794" s="62" t="s">
        <v>47</v>
      </c>
      <c r="G794" s="19" t="s">
        <v>229</v>
      </c>
      <c r="H794" s="200" t="s">
        <v>97</v>
      </c>
      <c r="I794" s="57" t="s">
        <v>145</v>
      </c>
      <c r="J794" s="15">
        <v>16800</v>
      </c>
      <c r="K794" s="15"/>
      <c r="L794" s="15">
        <f t="shared" si="174"/>
        <v>0</v>
      </c>
      <c r="M794" s="15">
        <v>200</v>
      </c>
      <c r="N794" s="15">
        <f t="shared" si="175"/>
        <v>3360000</v>
      </c>
      <c r="O794" s="15" t="str">
        <f>IF(AND(A794='BANG KE NL'!$M$11,TH!C794="NL",LEFT(D794,1)="N"),"x","")</f>
        <v/>
      </c>
    </row>
    <row r="795" spans="1:15" hidden="1">
      <c r="A795" s="24">
        <f t="shared" si="169"/>
        <v>11</v>
      </c>
      <c r="B795" s="176" t="str">
        <f>IF(AND(MONTH(E795)='IN-NX'!$J$5,'IN-NX'!$D$7=(D795&amp;"/"&amp;C795)),"x","")</f>
        <v/>
      </c>
      <c r="C795" s="173" t="s">
        <v>224</v>
      </c>
      <c r="D795" s="173" t="s">
        <v>230</v>
      </c>
      <c r="E795" s="70">
        <v>42333</v>
      </c>
      <c r="F795" s="62" t="s">
        <v>104</v>
      </c>
      <c r="G795" s="19" t="s">
        <v>229</v>
      </c>
      <c r="H795" s="200" t="s">
        <v>97</v>
      </c>
      <c r="I795" s="57" t="s">
        <v>145</v>
      </c>
      <c r="J795" s="15">
        <v>4500</v>
      </c>
      <c r="K795" s="15"/>
      <c r="L795" s="15">
        <f t="shared" si="174"/>
        <v>0</v>
      </c>
      <c r="M795" s="15">
        <v>2350</v>
      </c>
      <c r="N795" s="15">
        <f t="shared" si="175"/>
        <v>10575000</v>
      </c>
      <c r="O795" s="15" t="str">
        <f>IF(AND(A795='BANG KE NL'!$M$11,TH!C795="NL",LEFT(D795,1)="N"),"x","")</f>
        <v/>
      </c>
    </row>
    <row r="796" spans="1:15" hidden="1">
      <c r="A796" s="24">
        <f t="shared" si="169"/>
        <v>11</v>
      </c>
      <c r="B796" s="176" t="str">
        <f>IF(AND(MONTH(E796)='IN-NX'!$J$5,'IN-NX'!$D$7=(D796&amp;"/"&amp;C796)),"x","")</f>
        <v/>
      </c>
      <c r="C796" s="173" t="s">
        <v>224</v>
      </c>
      <c r="D796" s="173" t="s">
        <v>268</v>
      </c>
      <c r="E796" s="70">
        <v>42335</v>
      </c>
      <c r="F796" s="62" t="s">
        <v>397</v>
      </c>
      <c r="G796" s="19" t="s">
        <v>229</v>
      </c>
      <c r="H796" s="200" t="s">
        <v>97</v>
      </c>
      <c r="I796" s="57" t="s">
        <v>145</v>
      </c>
      <c r="J796" s="15">
        <v>21700</v>
      </c>
      <c r="K796" s="15"/>
      <c r="L796" s="15">
        <f t="shared" si="174"/>
        <v>0</v>
      </c>
      <c r="M796" s="15">
        <v>450</v>
      </c>
      <c r="N796" s="15">
        <f t="shared" si="175"/>
        <v>9765000</v>
      </c>
      <c r="O796" s="15" t="str">
        <f>IF(AND(A796='BANG KE NL'!$M$11,TH!C796="NL",LEFT(D796,1)="N"),"x","")</f>
        <v/>
      </c>
    </row>
    <row r="797" spans="1:15" hidden="1">
      <c r="A797" s="24">
        <f t="shared" si="169"/>
        <v>11</v>
      </c>
      <c r="B797" s="176" t="str">
        <f>IF(AND(MONTH(E797)='IN-NX'!$J$5,'IN-NX'!$D$7=(D797&amp;"/"&amp;C797)),"x","")</f>
        <v/>
      </c>
      <c r="C797" s="173" t="s">
        <v>224</v>
      </c>
      <c r="D797" s="173" t="s">
        <v>268</v>
      </c>
      <c r="E797" s="70">
        <v>42335</v>
      </c>
      <c r="F797" s="62" t="s">
        <v>100</v>
      </c>
      <c r="G797" s="19" t="s">
        <v>229</v>
      </c>
      <c r="H797" s="200" t="s">
        <v>97</v>
      </c>
      <c r="I797" s="57" t="s">
        <v>145</v>
      </c>
      <c r="J797" s="15">
        <v>20000</v>
      </c>
      <c r="K797" s="15"/>
      <c r="L797" s="15">
        <f t="shared" si="174"/>
        <v>0</v>
      </c>
      <c r="M797" s="15">
        <v>133</v>
      </c>
      <c r="N797" s="15">
        <f t="shared" si="175"/>
        <v>2660000</v>
      </c>
      <c r="O797" s="15" t="str">
        <f>IF(AND(A797='BANG KE NL'!$M$11,TH!C797="NL",LEFT(D797,1)="N"),"x","")</f>
        <v/>
      </c>
    </row>
    <row r="798" spans="1:15" hidden="1">
      <c r="A798" s="24">
        <f t="shared" si="169"/>
        <v>11</v>
      </c>
      <c r="B798" s="176" t="str">
        <f>IF(AND(MONTH(E798)='IN-NX'!$J$5,'IN-NX'!$D$7=(D798&amp;"/"&amp;C798)),"x","")</f>
        <v/>
      </c>
      <c r="C798" s="173" t="s">
        <v>224</v>
      </c>
      <c r="D798" s="173" t="s">
        <v>223</v>
      </c>
      <c r="E798" s="70">
        <v>42323</v>
      </c>
      <c r="F798" s="62" t="s">
        <v>391</v>
      </c>
      <c r="G798" s="19" t="s">
        <v>229</v>
      </c>
      <c r="H798" s="200" t="s">
        <v>97</v>
      </c>
      <c r="I798" s="57" t="s">
        <v>145</v>
      </c>
      <c r="J798" s="15">
        <v>14600</v>
      </c>
      <c r="K798" s="15"/>
      <c r="L798" s="15">
        <f t="shared" si="174"/>
        <v>0</v>
      </c>
      <c r="M798" s="15">
        <v>4900</v>
      </c>
      <c r="N798" s="15">
        <f t="shared" si="175"/>
        <v>71540000</v>
      </c>
      <c r="O798" s="15" t="str">
        <f>IF(AND(A798='BANG KE NL'!$M$11,TH!C798="NL",LEFT(D798,1)="N"),"x","")</f>
        <v/>
      </c>
    </row>
    <row r="799" spans="1:15" hidden="1">
      <c r="A799" s="24">
        <f t="shared" si="169"/>
        <v>12</v>
      </c>
      <c r="B799" s="176" t="str">
        <f>IF(AND(MONTH(E799)='IN-NX'!$J$5,'IN-NX'!$D$7=(D799&amp;"/"&amp;C799)),"x","")</f>
        <v/>
      </c>
      <c r="C799" s="173" t="s">
        <v>224</v>
      </c>
      <c r="D799" s="173" t="s">
        <v>214</v>
      </c>
      <c r="E799" s="70">
        <v>42340</v>
      </c>
      <c r="F799" s="426" t="s">
        <v>130</v>
      </c>
      <c r="G799" s="19" t="s">
        <v>148</v>
      </c>
      <c r="H799" s="200" t="s">
        <v>145</v>
      </c>
      <c r="I799" s="57" t="s">
        <v>124</v>
      </c>
      <c r="J799" s="15">
        <v>5600</v>
      </c>
      <c r="K799" s="15">
        <v>1780</v>
      </c>
      <c r="L799" s="15">
        <f t="shared" si="174"/>
        <v>9968000</v>
      </c>
      <c r="M799" s="15"/>
      <c r="N799" s="15">
        <f t="shared" si="175"/>
        <v>0</v>
      </c>
      <c r="O799" s="15" t="str">
        <f>IF(AND(A799='BANG KE NL'!$M$11,TH!C799="NL",LEFT(D799,1)="N"),"x","")</f>
        <v/>
      </c>
    </row>
    <row r="800" spans="1:15" hidden="1">
      <c r="A800" s="24">
        <f>IF(E800&lt;&gt;"",MONTH(E800),"")</f>
        <v>12</v>
      </c>
      <c r="B800" s="176" t="str">
        <f>IF(AND(MONTH(E800)='IN-NX'!$J$5,'IN-NX'!$D$7=(D800&amp;"/"&amp;C800)),"x","")</f>
        <v/>
      </c>
      <c r="C800" s="173" t="s">
        <v>224</v>
      </c>
      <c r="D800" s="173" t="s">
        <v>215</v>
      </c>
      <c r="E800" s="70">
        <v>42341</v>
      </c>
      <c r="F800" s="62" t="s">
        <v>66</v>
      </c>
      <c r="G800" s="19" t="s">
        <v>153</v>
      </c>
      <c r="H800" s="200" t="s">
        <v>145</v>
      </c>
      <c r="I800" s="57" t="s">
        <v>124</v>
      </c>
      <c r="J800" s="461">
        <v>22197.97</v>
      </c>
      <c r="K800" s="15">
        <v>450</v>
      </c>
      <c r="L800" s="15">
        <f>ROUND(J800*K800,0)</f>
        <v>9989087</v>
      </c>
      <c r="M800" s="15"/>
      <c r="N800" s="15">
        <f>ROUND(J800*M800,0)</f>
        <v>0</v>
      </c>
      <c r="O800" s="15" t="str">
        <f>IF(AND(A800='BANG KE NL'!$M$11,TH!C800="NL",LEFT(D800,1)="N"),"x","")</f>
        <v/>
      </c>
    </row>
    <row r="801" spans="1:15" hidden="1">
      <c r="A801" s="24">
        <f t="shared" si="169"/>
        <v>12</v>
      </c>
      <c r="B801" s="176" t="str">
        <f>IF(AND(MONTH(E801)='IN-NX'!$J$5,'IN-NX'!$D$7=(D801&amp;"/"&amp;C801)),"x","")</f>
        <v/>
      </c>
      <c r="C801" s="173" t="s">
        <v>224</v>
      </c>
      <c r="D801" s="173" t="s">
        <v>216</v>
      </c>
      <c r="E801" s="70">
        <v>42342</v>
      </c>
      <c r="F801" s="62" t="s">
        <v>38</v>
      </c>
      <c r="G801" s="19" t="s">
        <v>275</v>
      </c>
      <c r="H801" s="200" t="s">
        <v>145</v>
      </c>
      <c r="I801" s="57" t="s">
        <v>124</v>
      </c>
      <c r="J801" s="15">
        <v>8500</v>
      </c>
      <c r="K801" s="15">
        <v>600</v>
      </c>
      <c r="L801" s="15">
        <f t="shared" si="174"/>
        <v>5100000</v>
      </c>
      <c r="M801" s="15"/>
      <c r="N801" s="15">
        <f t="shared" si="175"/>
        <v>0</v>
      </c>
      <c r="O801" s="15" t="str">
        <f>IF(AND(A801='BANG KE NL'!$M$11,TH!C801="NL",LEFT(D801,1)="N"),"x","")</f>
        <v/>
      </c>
    </row>
    <row r="802" spans="1:15" hidden="1">
      <c r="A802" s="24">
        <f t="shared" si="169"/>
        <v>12</v>
      </c>
      <c r="B802" s="176" t="str">
        <f>IF(AND(MONTH(E802)='IN-NX'!$J$5,'IN-NX'!$D$7=(D802&amp;"/"&amp;C802)),"x","")</f>
        <v/>
      </c>
      <c r="C802" s="173" t="s">
        <v>224</v>
      </c>
      <c r="D802" s="173" t="s">
        <v>217</v>
      </c>
      <c r="E802" s="70">
        <v>42354</v>
      </c>
      <c r="F802" s="426" t="s">
        <v>390</v>
      </c>
      <c r="G802" s="19" t="s">
        <v>151</v>
      </c>
      <c r="H802" s="200" t="s">
        <v>145</v>
      </c>
      <c r="I802" s="57" t="s">
        <v>124</v>
      </c>
      <c r="J802" s="15">
        <v>12300</v>
      </c>
      <c r="K802" s="15">
        <v>350</v>
      </c>
      <c r="L802" s="15">
        <f t="shared" si="174"/>
        <v>4305000</v>
      </c>
      <c r="M802" s="15"/>
      <c r="N802" s="15">
        <f t="shared" si="175"/>
        <v>0</v>
      </c>
      <c r="O802" s="15" t="str">
        <f>IF(AND(A802='BANG KE NL'!$M$11,TH!C802="NL",LEFT(D802,1)="N"),"x","")</f>
        <v/>
      </c>
    </row>
    <row r="803" spans="1:15" hidden="1">
      <c r="A803" s="24">
        <f t="shared" si="169"/>
        <v>12</v>
      </c>
      <c r="B803" s="176" t="str">
        <f>IF(AND(MONTH(E803)='IN-NX'!$J$5,'IN-NX'!$D$7=(D803&amp;"/"&amp;C803)),"x","")</f>
        <v/>
      </c>
      <c r="C803" s="173" t="s">
        <v>224</v>
      </c>
      <c r="D803" s="173" t="s">
        <v>217</v>
      </c>
      <c r="E803" s="70">
        <v>42354</v>
      </c>
      <c r="F803" s="62" t="s">
        <v>276</v>
      </c>
      <c r="G803" s="19" t="s">
        <v>151</v>
      </c>
      <c r="H803" s="200" t="s">
        <v>145</v>
      </c>
      <c r="I803" s="57" t="s">
        <v>124</v>
      </c>
      <c r="J803" s="15">
        <v>12000</v>
      </c>
      <c r="K803" s="15">
        <v>800</v>
      </c>
      <c r="L803" s="15">
        <f t="shared" si="174"/>
        <v>9600000</v>
      </c>
      <c r="M803" s="15"/>
      <c r="N803" s="15">
        <f t="shared" si="175"/>
        <v>0</v>
      </c>
      <c r="O803" s="15" t="str">
        <f>IF(AND(A803='BANG KE NL'!$M$11,TH!C803="NL",LEFT(D803,1)="N"),"x","")</f>
        <v/>
      </c>
    </row>
    <row r="804" spans="1:15" hidden="1">
      <c r="A804" s="24">
        <f t="shared" si="169"/>
        <v>12</v>
      </c>
      <c r="B804" s="176" t="str">
        <f>IF(AND(MONTH(E804)='IN-NX'!$J$5,'IN-NX'!$D$7=(D804&amp;"/"&amp;C804)),"x","")</f>
        <v/>
      </c>
      <c r="C804" s="173" t="s">
        <v>224</v>
      </c>
      <c r="D804" s="173" t="s">
        <v>217</v>
      </c>
      <c r="E804" s="70">
        <v>42354</v>
      </c>
      <c r="F804" s="426" t="s">
        <v>392</v>
      </c>
      <c r="G804" s="19" t="s">
        <v>151</v>
      </c>
      <c r="H804" s="200" t="s">
        <v>145</v>
      </c>
      <c r="I804" s="57" t="s">
        <v>124</v>
      </c>
      <c r="J804" s="15">
        <v>9500</v>
      </c>
      <c r="K804" s="15">
        <v>250</v>
      </c>
      <c r="L804" s="15">
        <f t="shared" si="174"/>
        <v>2375000</v>
      </c>
      <c r="M804" s="15"/>
      <c r="N804" s="15">
        <f t="shared" si="175"/>
        <v>0</v>
      </c>
      <c r="O804" s="15" t="str">
        <f>IF(AND(A804='BANG KE NL'!$M$11,TH!C804="NL",LEFT(D804,1)="N"),"x","")</f>
        <v/>
      </c>
    </row>
    <row r="805" spans="1:15" hidden="1">
      <c r="A805" s="24">
        <f t="shared" ref="A805:A868" si="188">IF(E805&lt;&gt;"",MONTH(E805),"")</f>
        <v>12</v>
      </c>
      <c r="B805" s="176" t="str">
        <f>IF(AND(MONTH(E805)='IN-NX'!$J$5,'IN-NX'!$D$7=(D805&amp;"/"&amp;C805)),"x","")</f>
        <v/>
      </c>
      <c r="C805" s="173" t="s">
        <v>224</v>
      </c>
      <c r="D805" s="173" t="s">
        <v>218</v>
      </c>
      <c r="E805" s="70">
        <v>42360</v>
      </c>
      <c r="F805" s="438" t="s">
        <v>125</v>
      </c>
      <c r="G805" s="77" t="s">
        <v>398</v>
      </c>
      <c r="H805" s="200" t="s">
        <v>145</v>
      </c>
      <c r="I805" s="57" t="s">
        <v>124</v>
      </c>
      <c r="J805" s="15">
        <v>181.82</v>
      </c>
      <c r="K805" s="15">
        <v>89500</v>
      </c>
      <c r="L805" s="15">
        <f t="shared" si="174"/>
        <v>16272890</v>
      </c>
      <c r="M805" s="15"/>
      <c r="N805" s="15">
        <f t="shared" si="175"/>
        <v>0</v>
      </c>
      <c r="O805" s="15" t="str">
        <f>IF(AND(A805='BANG KE NL'!$M$11,TH!C805="NL",LEFT(D805,1)="N"),"x","")</f>
        <v/>
      </c>
    </row>
    <row r="806" spans="1:15" hidden="1">
      <c r="A806" s="24">
        <f t="shared" si="188"/>
        <v>12</v>
      </c>
      <c r="B806" s="176" t="str">
        <f>IF(AND(MONTH(E806)='IN-NX'!$J$5,'IN-NX'!$D$7=(D806&amp;"/"&amp;C806)),"x","")</f>
        <v/>
      </c>
      <c r="C806" s="173" t="s">
        <v>224</v>
      </c>
      <c r="D806" s="173" t="s">
        <v>218</v>
      </c>
      <c r="E806" s="70">
        <v>42360</v>
      </c>
      <c r="F806" s="434" t="s">
        <v>105</v>
      </c>
      <c r="G806" s="77" t="s">
        <v>398</v>
      </c>
      <c r="H806" s="200" t="s">
        <v>145</v>
      </c>
      <c r="I806" s="57" t="s">
        <v>124</v>
      </c>
      <c r="J806" s="15">
        <v>300</v>
      </c>
      <c r="K806" s="15">
        <v>93800</v>
      </c>
      <c r="L806" s="15">
        <f t="shared" si="174"/>
        <v>28140000</v>
      </c>
      <c r="M806" s="15"/>
      <c r="N806" s="15">
        <f t="shared" si="175"/>
        <v>0</v>
      </c>
      <c r="O806" s="15" t="str">
        <f>IF(AND(A806='BANG KE NL'!$M$11,TH!C806="NL",LEFT(D806,1)="N"),"x","")</f>
        <v/>
      </c>
    </row>
    <row r="807" spans="1:15" hidden="1">
      <c r="A807" s="24">
        <f t="shared" si="188"/>
        <v>12</v>
      </c>
      <c r="B807" s="176" t="str">
        <f>IF(AND(MONTH(E807)='IN-NX'!$J$5,'IN-NX'!$D$7=(D807&amp;"/"&amp;C807)),"x","")</f>
        <v/>
      </c>
      <c r="C807" s="173" t="s">
        <v>224</v>
      </c>
      <c r="D807" s="173" t="s">
        <v>218</v>
      </c>
      <c r="E807" s="70">
        <v>42360</v>
      </c>
      <c r="F807" s="438" t="s">
        <v>106</v>
      </c>
      <c r="G807" s="77" t="s">
        <v>398</v>
      </c>
      <c r="H807" s="200" t="s">
        <v>145</v>
      </c>
      <c r="I807" s="57" t="s">
        <v>124</v>
      </c>
      <c r="J807" s="15">
        <v>400</v>
      </c>
      <c r="K807" s="15">
        <v>48700</v>
      </c>
      <c r="L807" s="15">
        <f t="shared" si="174"/>
        <v>19480000</v>
      </c>
      <c r="M807" s="15"/>
      <c r="N807" s="15">
        <f t="shared" si="175"/>
        <v>0</v>
      </c>
      <c r="O807" s="15" t="str">
        <f>IF(AND(A807='BANG KE NL'!$M$11,TH!C807="NL",LEFT(D807,1)="N"),"x","")</f>
        <v/>
      </c>
    </row>
    <row r="808" spans="1:15" hidden="1">
      <c r="A808" s="24">
        <f t="shared" si="188"/>
        <v>12</v>
      </c>
      <c r="B808" s="176" t="str">
        <f>IF(AND(MONTH(E808)='IN-NX'!$J$5,'IN-NX'!$D$7=(D808&amp;"/"&amp;C808)),"x","")</f>
        <v/>
      </c>
      <c r="C808" s="173" t="s">
        <v>224</v>
      </c>
      <c r="D808" s="173" t="s">
        <v>220</v>
      </c>
      <c r="E808" s="70">
        <v>42340</v>
      </c>
      <c r="F808" s="37" t="s">
        <v>39</v>
      </c>
      <c r="G808" s="19" t="s">
        <v>229</v>
      </c>
      <c r="H808" s="200" t="s">
        <v>97</v>
      </c>
      <c r="I808" s="57" t="s">
        <v>145</v>
      </c>
      <c r="J808" s="15">
        <v>31000</v>
      </c>
      <c r="K808" s="15"/>
      <c r="L808" s="15">
        <f t="shared" si="174"/>
        <v>0</v>
      </c>
      <c r="M808" s="15">
        <v>150</v>
      </c>
      <c r="N808" s="15">
        <f t="shared" si="175"/>
        <v>4650000</v>
      </c>
      <c r="O808" s="15" t="str">
        <f>IF(AND(A808='BANG KE NL'!$M$11,TH!C808="NL",LEFT(D808,1)="N"),"x","")</f>
        <v/>
      </c>
    </row>
    <row r="809" spans="1:15" hidden="1">
      <c r="A809" s="24">
        <f t="shared" si="188"/>
        <v>12</v>
      </c>
      <c r="B809" s="176" t="str">
        <f>IF(AND(MONTH(E809)='IN-NX'!$J$5,'IN-NX'!$D$7=(D809&amp;"/"&amp;C809)),"x","")</f>
        <v/>
      </c>
      <c r="C809" s="173" t="s">
        <v>224</v>
      </c>
      <c r="D809" s="173" t="s">
        <v>220</v>
      </c>
      <c r="E809" s="70">
        <v>42340</v>
      </c>
      <c r="F809" s="62" t="s">
        <v>49</v>
      </c>
      <c r="G809" s="19" t="s">
        <v>229</v>
      </c>
      <c r="H809" s="200" t="s">
        <v>97</v>
      </c>
      <c r="I809" s="57" t="s">
        <v>145</v>
      </c>
      <c r="J809" s="15">
        <v>46741.2</v>
      </c>
      <c r="K809" s="15"/>
      <c r="L809" s="15">
        <f t="shared" si="174"/>
        <v>0</v>
      </c>
      <c r="M809" s="15">
        <v>125</v>
      </c>
      <c r="N809" s="15">
        <f t="shared" si="175"/>
        <v>5842650</v>
      </c>
      <c r="O809" s="15" t="str">
        <f>IF(AND(A809='BANG KE NL'!$M$11,TH!C809="NL",LEFT(D809,1)="N"),"x","")</f>
        <v/>
      </c>
    </row>
    <row r="810" spans="1:15" hidden="1">
      <c r="A810" s="24">
        <f t="shared" si="188"/>
        <v>12</v>
      </c>
      <c r="B810" s="176" t="str">
        <f>IF(AND(MONTH(E810)='IN-NX'!$J$5,'IN-NX'!$D$7=(D810&amp;"/"&amp;C810)),"x","")</f>
        <v/>
      </c>
      <c r="C810" s="173" t="s">
        <v>224</v>
      </c>
      <c r="D810" s="173" t="s">
        <v>220</v>
      </c>
      <c r="E810" s="70">
        <v>42340</v>
      </c>
      <c r="F810" s="62" t="s">
        <v>40</v>
      </c>
      <c r="G810" s="19" t="s">
        <v>229</v>
      </c>
      <c r="H810" s="200" t="s">
        <v>97</v>
      </c>
      <c r="I810" s="57" t="s">
        <v>145</v>
      </c>
      <c r="J810" s="15">
        <v>11666.666999999999</v>
      </c>
      <c r="K810" s="15"/>
      <c r="L810" s="15">
        <f t="shared" si="174"/>
        <v>0</v>
      </c>
      <c r="M810" s="15">
        <v>150</v>
      </c>
      <c r="N810" s="15">
        <f t="shared" si="175"/>
        <v>1750000</v>
      </c>
      <c r="O810" s="15" t="str">
        <f>IF(AND(A810='BANG KE NL'!$M$11,TH!C810="NL",LEFT(D810,1)="N"),"x","")</f>
        <v/>
      </c>
    </row>
    <row r="811" spans="1:15" hidden="1">
      <c r="A811" s="24">
        <f t="shared" si="188"/>
        <v>12</v>
      </c>
      <c r="B811" s="176" t="str">
        <f>IF(AND(MONTH(E811)='IN-NX'!$J$5,'IN-NX'!$D$7=(D811&amp;"/"&amp;C811)),"x","")</f>
        <v/>
      </c>
      <c r="C811" s="173" t="s">
        <v>224</v>
      </c>
      <c r="D811" s="173" t="s">
        <v>220</v>
      </c>
      <c r="E811" s="70">
        <v>42340</v>
      </c>
      <c r="F811" s="62" t="s">
        <v>66</v>
      </c>
      <c r="G811" s="19" t="s">
        <v>229</v>
      </c>
      <c r="H811" s="200" t="s">
        <v>97</v>
      </c>
      <c r="I811" s="57" t="s">
        <v>145</v>
      </c>
      <c r="J811" s="15">
        <v>19797.98</v>
      </c>
      <c r="K811" s="15"/>
      <c r="L811" s="15">
        <f t="shared" si="174"/>
        <v>0</v>
      </c>
      <c r="M811" s="15">
        <v>135</v>
      </c>
      <c r="N811" s="15">
        <f t="shared" si="175"/>
        <v>2672727</v>
      </c>
      <c r="O811" s="15" t="str">
        <f>IF(AND(A811='BANG KE NL'!$M$11,TH!C811="NL",LEFT(D811,1)="N"),"x","")</f>
        <v/>
      </c>
    </row>
    <row r="812" spans="1:15" hidden="1">
      <c r="A812" s="24">
        <f t="shared" si="188"/>
        <v>12</v>
      </c>
      <c r="B812" s="176" t="str">
        <f>IF(AND(MONTH(E812)='IN-NX'!$J$5,'IN-NX'!$D$7=(D812&amp;"/"&amp;C812)),"x","")</f>
        <v/>
      </c>
      <c r="C812" s="173" t="s">
        <v>224</v>
      </c>
      <c r="D812" s="173" t="s">
        <v>221</v>
      </c>
      <c r="E812" s="70">
        <v>42344</v>
      </c>
      <c r="F812" s="62" t="s">
        <v>41</v>
      </c>
      <c r="G812" s="19" t="s">
        <v>229</v>
      </c>
      <c r="H812" s="200" t="s">
        <v>97</v>
      </c>
      <c r="I812" s="57" t="s">
        <v>145</v>
      </c>
      <c r="J812" s="15">
        <v>3500</v>
      </c>
      <c r="K812" s="15"/>
      <c r="L812" s="15">
        <f t="shared" si="174"/>
        <v>0</v>
      </c>
      <c r="M812" s="15">
        <v>50</v>
      </c>
      <c r="N812" s="15">
        <f t="shared" si="175"/>
        <v>175000</v>
      </c>
      <c r="O812" s="15" t="str">
        <f>IF(AND(A812='BANG KE NL'!$M$11,TH!C812="NL",LEFT(D812,1)="N"),"x","")</f>
        <v/>
      </c>
    </row>
    <row r="813" spans="1:15" hidden="1">
      <c r="A813" s="24">
        <f t="shared" si="188"/>
        <v>12</v>
      </c>
      <c r="B813" s="176" t="str">
        <f>IF(AND(MONTH(E813)='IN-NX'!$J$5,'IN-NX'!$D$7=(D813&amp;"/"&amp;C813)),"x","")</f>
        <v/>
      </c>
      <c r="C813" s="173" t="s">
        <v>224</v>
      </c>
      <c r="D813" s="173" t="s">
        <v>221</v>
      </c>
      <c r="E813" s="70">
        <v>42344</v>
      </c>
      <c r="F813" s="62" t="s">
        <v>108</v>
      </c>
      <c r="G813" s="19" t="s">
        <v>229</v>
      </c>
      <c r="H813" s="200" t="s">
        <v>97</v>
      </c>
      <c r="I813" s="57" t="s">
        <v>145</v>
      </c>
      <c r="J813" s="15">
        <v>3000</v>
      </c>
      <c r="K813" s="15"/>
      <c r="L813" s="15">
        <f t="shared" ref="L813:L876" si="189">ROUND(J813*K813,0)</f>
        <v>0</v>
      </c>
      <c r="M813" s="15">
        <v>191</v>
      </c>
      <c r="N813" s="15">
        <f t="shared" ref="N813:N876" si="190">ROUND(J813*M813,0)</f>
        <v>573000</v>
      </c>
      <c r="O813" s="15" t="str">
        <f>IF(AND(A813='BANG KE NL'!$M$11,TH!C813="NL",LEFT(D813,1)="N"),"x","")</f>
        <v/>
      </c>
    </row>
    <row r="814" spans="1:15" hidden="1">
      <c r="A814" s="24">
        <f t="shared" si="188"/>
        <v>12</v>
      </c>
      <c r="B814" s="176" t="str">
        <f>IF(AND(MONTH(E814)='IN-NX'!$J$5,'IN-NX'!$D$7=(D814&amp;"/"&amp;C814)),"x","")</f>
        <v/>
      </c>
      <c r="C814" s="173" t="s">
        <v>224</v>
      </c>
      <c r="D814" s="173" t="s">
        <v>221</v>
      </c>
      <c r="E814" s="70">
        <v>42344</v>
      </c>
      <c r="F814" s="62" t="s">
        <v>110</v>
      </c>
      <c r="G814" s="19" t="s">
        <v>229</v>
      </c>
      <c r="H814" s="200" t="s">
        <v>97</v>
      </c>
      <c r="I814" s="57" t="s">
        <v>145</v>
      </c>
      <c r="J814" s="15">
        <v>14091</v>
      </c>
      <c r="K814" s="15"/>
      <c r="L814" s="15">
        <f t="shared" si="189"/>
        <v>0</v>
      </c>
      <c r="M814" s="15">
        <v>1350</v>
      </c>
      <c r="N814" s="15">
        <f t="shared" si="190"/>
        <v>19022850</v>
      </c>
      <c r="O814" s="15" t="str">
        <f>IF(AND(A814='BANG KE NL'!$M$11,TH!C814="NL",LEFT(D814,1)="N"),"x","")</f>
        <v/>
      </c>
    </row>
    <row r="815" spans="1:15" hidden="1">
      <c r="A815" s="24">
        <f t="shared" si="188"/>
        <v>12</v>
      </c>
      <c r="B815" s="176" t="str">
        <f>IF(AND(MONTH(E815)='IN-NX'!$J$5,'IN-NX'!$D$7=(D815&amp;"/"&amp;C815)),"x","")</f>
        <v/>
      </c>
      <c r="C815" s="173" t="s">
        <v>224</v>
      </c>
      <c r="D815" s="173" t="s">
        <v>222</v>
      </c>
      <c r="E815" s="70">
        <v>42348</v>
      </c>
      <c r="F815" s="62" t="s">
        <v>38</v>
      </c>
      <c r="G815" s="19" t="s">
        <v>229</v>
      </c>
      <c r="H815" s="200" t="s">
        <v>97</v>
      </c>
      <c r="I815" s="57" t="s">
        <v>145</v>
      </c>
      <c r="J815" s="15">
        <v>8500</v>
      </c>
      <c r="K815" s="15"/>
      <c r="L815" s="15">
        <f t="shared" si="189"/>
        <v>0</v>
      </c>
      <c r="M815" s="15">
        <v>150</v>
      </c>
      <c r="N815" s="15">
        <f t="shared" si="190"/>
        <v>1275000</v>
      </c>
      <c r="O815" s="15" t="str">
        <f>IF(AND(A815='BANG KE NL'!$M$11,TH!C815="NL",LEFT(D815,1)="N"),"x","")</f>
        <v/>
      </c>
    </row>
    <row r="816" spans="1:15" hidden="1">
      <c r="A816" s="24">
        <f t="shared" si="188"/>
        <v>12</v>
      </c>
      <c r="B816" s="176" t="str">
        <f>IF(AND(MONTH(E816)='IN-NX'!$J$5,'IN-NX'!$D$7=(D816&amp;"/"&amp;C816)),"x","")</f>
        <v/>
      </c>
      <c r="C816" s="173" t="s">
        <v>224</v>
      </c>
      <c r="D816" s="173" t="s">
        <v>222</v>
      </c>
      <c r="E816" s="70">
        <v>42348</v>
      </c>
      <c r="F816" s="62" t="s">
        <v>54</v>
      </c>
      <c r="G816" s="19" t="s">
        <v>229</v>
      </c>
      <c r="H816" s="200" t="s">
        <v>97</v>
      </c>
      <c r="I816" s="57" t="s">
        <v>145</v>
      </c>
      <c r="J816" s="15">
        <v>323.05080427144196</v>
      </c>
      <c r="K816" s="15"/>
      <c r="L816" s="15">
        <f t="shared" si="189"/>
        <v>0</v>
      </c>
      <c r="M816" s="15">
        <v>5000</v>
      </c>
      <c r="N816" s="15">
        <f t="shared" si="190"/>
        <v>1615254</v>
      </c>
      <c r="O816" s="15" t="str">
        <f>IF(AND(A816='BANG KE NL'!$M$11,TH!C816="NL",LEFT(D816,1)="N"),"x","")</f>
        <v/>
      </c>
    </row>
    <row r="817" spans="1:15" hidden="1">
      <c r="A817" s="24">
        <f t="shared" si="188"/>
        <v>12</v>
      </c>
      <c r="B817" s="176" t="str">
        <f>IF(AND(MONTH(E817)='IN-NX'!$J$5,'IN-NX'!$D$7=(D817&amp;"/"&amp;C817)),"x","")</f>
        <v/>
      </c>
      <c r="C817" s="173" t="s">
        <v>224</v>
      </c>
      <c r="D817" s="173" t="s">
        <v>223</v>
      </c>
      <c r="E817" s="70">
        <v>42348</v>
      </c>
      <c r="F817" s="62" t="s">
        <v>105</v>
      </c>
      <c r="G817" s="19" t="s">
        <v>229</v>
      </c>
      <c r="H817" s="200" t="s">
        <v>97</v>
      </c>
      <c r="I817" s="57" t="s">
        <v>145</v>
      </c>
      <c r="J817" s="15">
        <v>382.14765100671138</v>
      </c>
      <c r="K817" s="15"/>
      <c r="L817" s="15">
        <f t="shared" si="189"/>
        <v>0</v>
      </c>
      <c r="M817" s="15">
        <v>134100</v>
      </c>
      <c r="N817" s="15">
        <f t="shared" si="190"/>
        <v>51246000</v>
      </c>
      <c r="O817" s="15" t="str">
        <f>IF(AND(A817='BANG KE NL'!$M$11,TH!C817="NL",LEFT(D817,1)="N"),"x","")</f>
        <v/>
      </c>
    </row>
    <row r="818" spans="1:15" hidden="1">
      <c r="A818" s="24">
        <f t="shared" si="188"/>
        <v>12</v>
      </c>
      <c r="B818" s="176" t="str">
        <f>IF(AND(MONTH(E818)='IN-NX'!$J$5,'IN-NX'!$D$7=(D818&amp;"/"&amp;C818)),"x","")</f>
        <v/>
      </c>
      <c r="C818" s="173" t="s">
        <v>224</v>
      </c>
      <c r="D818" s="173" t="s">
        <v>223</v>
      </c>
      <c r="E818" s="70">
        <v>42348</v>
      </c>
      <c r="F818" s="62" t="s">
        <v>106</v>
      </c>
      <c r="G818" s="19" t="s">
        <v>229</v>
      </c>
      <c r="H818" s="200" t="s">
        <v>97</v>
      </c>
      <c r="I818" s="57" t="s">
        <v>145</v>
      </c>
      <c r="J818" s="15">
        <v>680.77405664729224</v>
      </c>
      <c r="K818" s="15"/>
      <c r="L818" s="15">
        <f t="shared" si="189"/>
        <v>0</v>
      </c>
      <c r="M818" s="15">
        <v>108390</v>
      </c>
      <c r="N818" s="15">
        <f t="shared" si="190"/>
        <v>73789100</v>
      </c>
      <c r="O818" s="15" t="str">
        <f>IF(AND(A818='BANG KE NL'!$M$11,TH!C818="NL",LEFT(D818,1)="N"),"x","")</f>
        <v/>
      </c>
    </row>
    <row r="819" spans="1:15" hidden="1">
      <c r="A819" s="24">
        <f t="shared" si="188"/>
        <v>12</v>
      </c>
      <c r="B819" s="176" t="str">
        <f>IF(AND(MONTH(E819)='IN-NX'!$J$5,'IN-NX'!$D$7=(D819&amp;"/"&amp;C819)),"x","")</f>
        <v/>
      </c>
      <c r="C819" s="173" t="s">
        <v>224</v>
      </c>
      <c r="D819" s="173" t="s">
        <v>223</v>
      </c>
      <c r="E819" s="70">
        <v>42348</v>
      </c>
      <c r="F819" s="62" t="s">
        <v>125</v>
      </c>
      <c r="G819" s="19" t="s">
        <v>229</v>
      </c>
      <c r="H819" s="200" t="s">
        <v>97</v>
      </c>
      <c r="I819" s="57" t="s">
        <v>145</v>
      </c>
      <c r="J819" s="15">
        <v>200.84613259668509</v>
      </c>
      <c r="K819" s="15"/>
      <c r="L819" s="15">
        <f t="shared" si="189"/>
        <v>0</v>
      </c>
      <c r="M819" s="15">
        <v>108600</v>
      </c>
      <c r="N819" s="15">
        <f t="shared" si="190"/>
        <v>21811890</v>
      </c>
      <c r="O819" s="15" t="str">
        <f>IF(AND(A819='BANG KE NL'!$M$11,TH!C819="NL",LEFT(D819,1)="N"),"x","")</f>
        <v/>
      </c>
    </row>
    <row r="820" spans="1:15" hidden="1">
      <c r="A820" s="24">
        <f t="shared" si="188"/>
        <v>12</v>
      </c>
      <c r="B820" s="176" t="str">
        <f>IF(AND(MONTH(E820)='IN-NX'!$J$5,'IN-NX'!$D$7=(D820&amp;"/"&amp;C820)),"x","")</f>
        <v/>
      </c>
      <c r="C820" s="173" t="s">
        <v>224</v>
      </c>
      <c r="D820" s="173" t="s">
        <v>223</v>
      </c>
      <c r="E820" s="70">
        <v>42348</v>
      </c>
      <c r="F820" s="62" t="s">
        <v>46</v>
      </c>
      <c r="G820" s="19" t="s">
        <v>229</v>
      </c>
      <c r="H820" s="200" t="s">
        <v>97</v>
      </c>
      <c r="I820" s="57" t="s">
        <v>145</v>
      </c>
      <c r="J820" s="15">
        <v>2500</v>
      </c>
      <c r="K820" s="15"/>
      <c r="L820" s="15">
        <f t="shared" si="189"/>
        <v>0</v>
      </c>
      <c r="M820" s="15">
        <v>16678</v>
      </c>
      <c r="N820" s="15">
        <f t="shared" si="190"/>
        <v>41695000</v>
      </c>
      <c r="O820" s="15" t="str">
        <f>IF(AND(A820='BANG KE NL'!$M$11,TH!C820="NL",LEFT(D820,1)="N"),"x","")</f>
        <v/>
      </c>
    </row>
    <row r="821" spans="1:15" hidden="1">
      <c r="A821" s="24">
        <f t="shared" si="188"/>
        <v>12</v>
      </c>
      <c r="B821" s="176" t="str">
        <f>IF(AND(MONTH(E821)='IN-NX'!$J$5,'IN-NX'!$D$7=(D821&amp;"/"&amp;C821)),"x","")</f>
        <v/>
      </c>
      <c r="C821" s="173" t="s">
        <v>224</v>
      </c>
      <c r="D821" s="173" t="s">
        <v>230</v>
      </c>
      <c r="E821" s="70">
        <v>42365</v>
      </c>
      <c r="F821" s="62" t="s">
        <v>392</v>
      </c>
      <c r="G821" s="19" t="s">
        <v>229</v>
      </c>
      <c r="H821" s="200" t="s">
        <v>97</v>
      </c>
      <c r="I821" s="57" t="s">
        <v>145</v>
      </c>
      <c r="J821" s="15">
        <v>9500</v>
      </c>
      <c r="K821" s="15"/>
      <c r="L821" s="15">
        <f t="shared" si="189"/>
        <v>0</v>
      </c>
      <c r="M821" s="15">
        <v>250</v>
      </c>
      <c r="N821" s="15">
        <f t="shared" si="190"/>
        <v>2375000</v>
      </c>
      <c r="O821" s="15" t="str">
        <f>IF(AND(A821='BANG KE NL'!$M$11,TH!C821="NL",LEFT(D821,1)="N"),"x","")</f>
        <v/>
      </c>
    </row>
    <row r="822" spans="1:15" hidden="1">
      <c r="A822" s="24">
        <f t="shared" si="188"/>
        <v>12</v>
      </c>
      <c r="B822" s="176" t="str">
        <f>IF(AND(MONTH(E822)='IN-NX'!$J$5,'IN-NX'!$D$7=(D822&amp;"/"&amp;C822)),"x","")</f>
        <v/>
      </c>
      <c r="C822" s="173" t="s">
        <v>224</v>
      </c>
      <c r="D822" s="173" t="s">
        <v>230</v>
      </c>
      <c r="E822" s="70">
        <v>42365</v>
      </c>
      <c r="F822" s="62" t="s">
        <v>276</v>
      </c>
      <c r="G822" s="19" t="s">
        <v>229</v>
      </c>
      <c r="H822" s="200" t="s">
        <v>97</v>
      </c>
      <c r="I822" s="57" t="s">
        <v>145</v>
      </c>
      <c r="J822" s="15">
        <v>12000</v>
      </c>
      <c r="K822" s="15"/>
      <c r="L822" s="15">
        <f t="shared" si="189"/>
        <v>0</v>
      </c>
      <c r="M822" s="15">
        <v>800</v>
      </c>
      <c r="N822" s="15">
        <f t="shared" si="190"/>
        <v>9600000</v>
      </c>
      <c r="O822" s="15" t="str">
        <f>IF(AND(A822='BANG KE NL'!$M$11,TH!C822="NL",LEFT(D822,1)="N"),"x","")</f>
        <v/>
      </c>
    </row>
    <row r="823" spans="1:15" hidden="1">
      <c r="A823" s="24">
        <f t="shared" si="188"/>
        <v>12</v>
      </c>
      <c r="B823" s="176" t="str">
        <f>IF(AND(MONTH(E823)='IN-NX'!$J$5,'IN-NX'!$D$7=(D823&amp;"/"&amp;C823)),"x","")</f>
        <v/>
      </c>
      <c r="C823" s="173" t="s">
        <v>224</v>
      </c>
      <c r="D823" s="173" t="s">
        <v>230</v>
      </c>
      <c r="E823" s="70">
        <v>42365</v>
      </c>
      <c r="F823" s="62" t="s">
        <v>390</v>
      </c>
      <c r="G823" s="19" t="s">
        <v>229</v>
      </c>
      <c r="H823" s="200" t="s">
        <v>97</v>
      </c>
      <c r="I823" s="57" t="s">
        <v>145</v>
      </c>
      <c r="J823" s="15">
        <v>12300</v>
      </c>
      <c r="K823" s="15"/>
      <c r="L823" s="15">
        <f t="shared" si="189"/>
        <v>0</v>
      </c>
      <c r="M823" s="15">
        <v>350</v>
      </c>
      <c r="N823" s="15">
        <f t="shared" si="190"/>
        <v>4305000</v>
      </c>
      <c r="O823" s="15" t="str">
        <f>IF(AND(A823='BANG KE NL'!$M$11,TH!C823="NL",LEFT(D823,1)="N"),"x","")</f>
        <v/>
      </c>
    </row>
    <row r="824" spans="1:15" hidden="1">
      <c r="A824" s="24" t="str">
        <f t="shared" si="188"/>
        <v/>
      </c>
      <c r="B824" s="176" t="str">
        <f>IF(AND(MONTH(E824)='IN-NX'!$J$5,'IN-NX'!$D$7=(D824&amp;"/"&amp;C824)),"x","")</f>
        <v/>
      </c>
      <c r="C824" s="173"/>
      <c r="D824" s="173"/>
      <c r="E824" s="70"/>
      <c r="F824" s="62"/>
      <c r="G824" s="19"/>
      <c r="H824" s="178"/>
      <c r="I824" s="57"/>
      <c r="J824" s="15"/>
      <c r="K824" s="15"/>
      <c r="L824" s="15">
        <f t="shared" si="189"/>
        <v>0</v>
      </c>
      <c r="M824" s="15"/>
      <c r="N824" s="15">
        <f t="shared" si="190"/>
        <v>0</v>
      </c>
      <c r="O824" s="15" t="str">
        <f>IF(AND(A824='BANG KE NL'!$M$11,TH!C824="NL",LEFT(D824,1)="N"),"x","")</f>
        <v/>
      </c>
    </row>
    <row r="825" spans="1:15" hidden="1">
      <c r="A825" s="24" t="str">
        <f t="shared" si="188"/>
        <v/>
      </c>
      <c r="B825" s="176" t="str">
        <f>IF(AND(MONTH(E825)='IN-NX'!$J$5,'IN-NX'!$D$7=(D825&amp;"/"&amp;C825)),"x","")</f>
        <v/>
      </c>
      <c r="C825" s="173"/>
      <c r="D825" s="173"/>
      <c r="E825" s="70"/>
      <c r="F825" s="62"/>
      <c r="G825" s="19"/>
      <c r="H825" s="178"/>
      <c r="I825" s="57"/>
      <c r="J825" s="15"/>
      <c r="K825" s="15"/>
      <c r="L825" s="15">
        <f t="shared" si="189"/>
        <v>0</v>
      </c>
      <c r="M825" s="15"/>
      <c r="N825" s="15">
        <f t="shared" si="190"/>
        <v>0</v>
      </c>
      <c r="O825" s="15" t="str">
        <f>IF(AND(A825='BANG KE NL'!$M$11,TH!C825="NL",LEFT(D825,1)="N"),"x","")</f>
        <v/>
      </c>
    </row>
    <row r="826" spans="1:15" hidden="1">
      <c r="A826" s="24" t="str">
        <f t="shared" si="188"/>
        <v/>
      </c>
      <c r="B826" s="176" t="str">
        <f>IF(AND(MONTH(E826)='IN-NX'!$J$5,'IN-NX'!$D$7=(D826&amp;"/"&amp;C826)),"x","")</f>
        <v/>
      </c>
      <c r="C826" s="173"/>
      <c r="D826" s="173"/>
      <c r="E826" s="70"/>
      <c r="F826" s="62"/>
      <c r="G826" s="19"/>
      <c r="H826" s="178"/>
      <c r="I826" s="57"/>
      <c r="J826" s="15"/>
      <c r="K826" s="15"/>
      <c r="L826" s="15">
        <f t="shared" si="189"/>
        <v>0</v>
      </c>
      <c r="M826" s="15"/>
      <c r="N826" s="15">
        <f t="shared" si="190"/>
        <v>0</v>
      </c>
      <c r="O826" s="15" t="str">
        <f>IF(AND(A826='BANG KE NL'!$M$11,TH!C826="NL",LEFT(D826,1)="N"),"x","")</f>
        <v/>
      </c>
    </row>
    <row r="827" spans="1:15" hidden="1">
      <c r="A827" s="24" t="str">
        <f t="shared" si="188"/>
        <v/>
      </c>
      <c r="B827" s="176" t="str">
        <f>IF(AND(MONTH(E827)='IN-NX'!$J$5,'IN-NX'!$D$7=(D827&amp;"/"&amp;C827)),"x","")</f>
        <v/>
      </c>
      <c r="C827" s="173"/>
      <c r="D827" s="173"/>
      <c r="E827" s="70"/>
      <c r="F827" s="62"/>
      <c r="G827" s="19"/>
      <c r="H827" s="178"/>
      <c r="I827" s="57"/>
      <c r="J827" s="15"/>
      <c r="K827" s="15"/>
      <c r="L827" s="15">
        <f t="shared" si="189"/>
        <v>0</v>
      </c>
      <c r="M827" s="15"/>
      <c r="N827" s="15">
        <f t="shared" si="190"/>
        <v>0</v>
      </c>
      <c r="O827" s="15" t="str">
        <f>IF(AND(A827='BANG KE NL'!$M$11,TH!C827="NL",LEFT(D827,1)="N"),"x","")</f>
        <v/>
      </c>
    </row>
    <row r="828" spans="1:15" hidden="1">
      <c r="A828" s="24" t="str">
        <f t="shared" si="188"/>
        <v/>
      </c>
      <c r="B828" s="176" t="str">
        <f>IF(AND(MONTH(E828)='IN-NX'!$J$5,'IN-NX'!$D$7=(D828&amp;"/"&amp;C828)),"x","")</f>
        <v/>
      </c>
      <c r="C828" s="173"/>
      <c r="D828" s="173"/>
      <c r="E828" s="70"/>
      <c r="F828" s="62"/>
      <c r="G828" s="19"/>
      <c r="H828" s="178"/>
      <c r="I828" s="57"/>
      <c r="J828" s="15"/>
      <c r="K828" s="15"/>
      <c r="L828" s="15">
        <f t="shared" si="189"/>
        <v>0</v>
      </c>
      <c r="M828" s="15"/>
      <c r="N828" s="15">
        <f t="shared" si="190"/>
        <v>0</v>
      </c>
      <c r="O828" s="15" t="str">
        <f>IF(AND(A828='BANG KE NL'!$M$11,TH!C828="NL",LEFT(D828,1)="N"),"x","")</f>
        <v/>
      </c>
    </row>
    <row r="829" spans="1:15" hidden="1">
      <c r="A829" s="24" t="str">
        <f t="shared" si="188"/>
        <v/>
      </c>
      <c r="B829" s="176" t="str">
        <f>IF(AND(MONTH(E829)='IN-NX'!$J$5,'IN-NX'!$D$7=(D829&amp;"/"&amp;C829)),"x","")</f>
        <v/>
      </c>
      <c r="C829" s="173"/>
      <c r="D829" s="173"/>
      <c r="E829" s="70"/>
      <c r="F829" s="62"/>
      <c r="G829" s="19"/>
      <c r="H829" s="178"/>
      <c r="I829" s="57"/>
      <c r="J829" s="15"/>
      <c r="K829" s="15"/>
      <c r="L829" s="15">
        <f t="shared" si="189"/>
        <v>0</v>
      </c>
      <c r="M829" s="15"/>
      <c r="N829" s="15">
        <f t="shared" si="190"/>
        <v>0</v>
      </c>
      <c r="O829" s="15" t="str">
        <f>IF(AND(A829='BANG KE NL'!$M$11,TH!C829="NL",LEFT(D829,1)="N"),"x","")</f>
        <v/>
      </c>
    </row>
    <row r="830" spans="1:15" hidden="1">
      <c r="A830" s="24" t="str">
        <f t="shared" si="188"/>
        <v/>
      </c>
      <c r="B830" s="176" t="str">
        <f>IF(AND(MONTH(E830)='IN-NX'!$J$5,'IN-NX'!$D$7=(D830&amp;"/"&amp;C830)),"x","")</f>
        <v/>
      </c>
      <c r="C830" s="173"/>
      <c r="D830" s="173"/>
      <c r="E830" s="70"/>
      <c r="F830" s="62"/>
      <c r="G830" s="19"/>
      <c r="H830" s="178"/>
      <c r="I830" s="57"/>
      <c r="J830" s="15"/>
      <c r="K830" s="15"/>
      <c r="L830" s="15">
        <f t="shared" si="189"/>
        <v>0</v>
      </c>
      <c r="M830" s="15"/>
      <c r="N830" s="15">
        <f t="shared" si="190"/>
        <v>0</v>
      </c>
      <c r="O830" s="15" t="str">
        <f>IF(AND(A830='BANG KE NL'!$M$11,TH!C830="NL",LEFT(D830,1)="N"),"x","")</f>
        <v/>
      </c>
    </row>
    <row r="831" spans="1:15" hidden="1">
      <c r="A831" s="24" t="str">
        <f t="shared" si="188"/>
        <v/>
      </c>
      <c r="B831" s="176" t="str">
        <f>IF(AND(MONTH(E831)='IN-NX'!$J$5,'IN-NX'!$D$7=(D831&amp;"/"&amp;C831)),"x","")</f>
        <v/>
      </c>
      <c r="C831" s="173"/>
      <c r="D831" s="173"/>
      <c r="E831" s="70"/>
      <c r="F831" s="62"/>
      <c r="G831" s="19"/>
      <c r="H831" s="178"/>
      <c r="I831" s="57"/>
      <c r="J831" s="15"/>
      <c r="K831" s="15"/>
      <c r="L831" s="15">
        <f t="shared" si="189"/>
        <v>0</v>
      </c>
      <c r="M831" s="15"/>
      <c r="N831" s="15">
        <f t="shared" si="190"/>
        <v>0</v>
      </c>
      <c r="O831" s="15" t="str">
        <f>IF(AND(A831='BANG KE NL'!$M$11,TH!C831="NL",LEFT(D831,1)="N"),"x","")</f>
        <v/>
      </c>
    </row>
    <row r="832" spans="1:15" hidden="1">
      <c r="A832" s="24" t="str">
        <f t="shared" si="188"/>
        <v/>
      </c>
      <c r="B832" s="176" t="str">
        <f>IF(AND(MONTH(E832)='IN-NX'!$J$5,'IN-NX'!$D$7=(D832&amp;"/"&amp;C832)),"x","")</f>
        <v/>
      </c>
      <c r="C832" s="173"/>
      <c r="D832" s="173"/>
      <c r="E832" s="70"/>
      <c r="F832" s="62"/>
      <c r="G832" s="19"/>
      <c r="H832" s="178"/>
      <c r="I832" s="57"/>
      <c r="J832" s="15"/>
      <c r="K832" s="15"/>
      <c r="L832" s="15">
        <f t="shared" si="189"/>
        <v>0</v>
      </c>
      <c r="M832" s="15"/>
      <c r="N832" s="15">
        <f t="shared" si="190"/>
        <v>0</v>
      </c>
      <c r="O832" s="15" t="str">
        <f>IF(AND(A832='BANG KE NL'!$M$11,TH!C832="NL",LEFT(D832,1)="N"),"x","")</f>
        <v/>
      </c>
    </row>
    <row r="833" spans="1:15" hidden="1">
      <c r="A833" s="24" t="str">
        <f t="shared" si="188"/>
        <v/>
      </c>
      <c r="B833" s="176" t="str">
        <f>IF(AND(MONTH(E833)='IN-NX'!$J$5,'IN-NX'!$D$7=(D833&amp;"/"&amp;C833)),"x","")</f>
        <v/>
      </c>
      <c r="C833" s="173"/>
      <c r="D833" s="173"/>
      <c r="E833" s="70"/>
      <c r="F833" s="62"/>
      <c r="G833" s="19"/>
      <c r="H833" s="178"/>
      <c r="I833" s="57"/>
      <c r="J833" s="15"/>
      <c r="K833" s="15"/>
      <c r="L833" s="15">
        <f t="shared" si="189"/>
        <v>0</v>
      </c>
      <c r="M833" s="15"/>
      <c r="N833" s="15">
        <f t="shared" si="190"/>
        <v>0</v>
      </c>
      <c r="O833" s="15" t="str">
        <f>IF(AND(A833='BANG KE NL'!$M$11,TH!C833="NL",LEFT(D833,1)="N"),"x","")</f>
        <v/>
      </c>
    </row>
    <row r="834" spans="1:15" hidden="1">
      <c r="A834" s="24" t="str">
        <f t="shared" si="188"/>
        <v/>
      </c>
      <c r="B834" s="176" t="str">
        <f>IF(AND(MONTH(E834)='IN-NX'!$J$5,'IN-NX'!$D$7=(D834&amp;"/"&amp;C834)),"x","")</f>
        <v/>
      </c>
      <c r="C834" s="173"/>
      <c r="D834" s="173"/>
      <c r="E834" s="70"/>
      <c r="F834" s="62"/>
      <c r="G834" s="19"/>
      <c r="H834" s="178"/>
      <c r="I834" s="57"/>
      <c r="J834" s="15"/>
      <c r="K834" s="15"/>
      <c r="L834" s="15">
        <f t="shared" si="189"/>
        <v>0</v>
      </c>
      <c r="M834" s="15"/>
      <c r="N834" s="15">
        <f t="shared" si="190"/>
        <v>0</v>
      </c>
      <c r="O834" s="15" t="str">
        <f>IF(AND(A834='BANG KE NL'!$M$11,TH!C834="NL",LEFT(D834,1)="N"),"x","")</f>
        <v/>
      </c>
    </row>
    <row r="835" spans="1:15" hidden="1">
      <c r="A835" s="24" t="str">
        <f t="shared" si="188"/>
        <v/>
      </c>
      <c r="B835" s="176" t="str">
        <f>IF(AND(MONTH(E835)='IN-NX'!$J$5,'IN-NX'!$D$7=(D835&amp;"/"&amp;C835)),"x","")</f>
        <v/>
      </c>
      <c r="C835" s="173"/>
      <c r="D835" s="173"/>
      <c r="E835" s="70"/>
      <c r="F835" s="62"/>
      <c r="G835" s="19"/>
      <c r="H835" s="178"/>
      <c r="I835" s="57"/>
      <c r="J835" s="15"/>
      <c r="K835" s="15"/>
      <c r="L835" s="15">
        <f t="shared" si="189"/>
        <v>0</v>
      </c>
      <c r="M835" s="15"/>
      <c r="N835" s="15">
        <f t="shared" si="190"/>
        <v>0</v>
      </c>
      <c r="O835" s="15" t="str">
        <f>IF(AND(A835='BANG KE NL'!$M$11,TH!C835="NL",LEFT(D835,1)="N"),"x","")</f>
        <v/>
      </c>
    </row>
    <row r="836" spans="1:15" hidden="1">
      <c r="A836" s="24" t="str">
        <f t="shared" si="188"/>
        <v/>
      </c>
      <c r="B836" s="176" t="str">
        <f>IF(AND(MONTH(E836)='IN-NX'!$J$5,'IN-NX'!$D$7=(D836&amp;"/"&amp;C836)),"x","")</f>
        <v/>
      </c>
      <c r="C836" s="173"/>
      <c r="D836" s="173"/>
      <c r="E836" s="70"/>
      <c r="F836" s="62"/>
      <c r="G836" s="19"/>
      <c r="H836" s="178"/>
      <c r="I836" s="57"/>
      <c r="J836" s="15"/>
      <c r="K836" s="15"/>
      <c r="L836" s="15">
        <f t="shared" si="189"/>
        <v>0</v>
      </c>
      <c r="M836" s="15"/>
      <c r="N836" s="15">
        <f t="shared" si="190"/>
        <v>0</v>
      </c>
      <c r="O836" s="15" t="str">
        <f>IF(AND(A836='BANG KE NL'!$M$11,TH!C836="NL",LEFT(D836,1)="N"),"x","")</f>
        <v/>
      </c>
    </row>
    <row r="837" spans="1:15" hidden="1">
      <c r="A837" s="24" t="str">
        <f t="shared" si="188"/>
        <v/>
      </c>
      <c r="B837" s="176" t="str">
        <f>IF(AND(MONTH(E837)='IN-NX'!$J$5,'IN-NX'!$D$7=(D837&amp;"/"&amp;C837)),"x","")</f>
        <v/>
      </c>
      <c r="C837" s="173"/>
      <c r="D837" s="173"/>
      <c r="E837" s="70"/>
      <c r="F837" s="62"/>
      <c r="G837" s="19"/>
      <c r="H837" s="178"/>
      <c r="I837" s="57"/>
      <c r="J837" s="15"/>
      <c r="K837" s="15"/>
      <c r="L837" s="15">
        <f t="shared" si="189"/>
        <v>0</v>
      </c>
      <c r="M837" s="15"/>
      <c r="N837" s="15">
        <f t="shared" si="190"/>
        <v>0</v>
      </c>
      <c r="O837" s="15" t="str">
        <f>IF(AND(A837='BANG KE NL'!$M$11,TH!C837="NL",LEFT(D837,1)="N"),"x","")</f>
        <v/>
      </c>
    </row>
    <row r="838" spans="1:15" hidden="1">
      <c r="A838" s="24" t="str">
        <f t="shared" si="188"/>
        <v/>
      </c>
      <c r="B838" s="176" t="str">
        <f>IF(AND(MONTH(E838)='IN-NX'!$J$5,'IN-NX'!$D$7=(D838&amp;"/"&amp;C838)),"x","")</f>
        <v/>
      </c>
      <c r="C838" s="173"/>
      <c r="D838" s="173"/>
      <c r="E838" s="70"/>
      <c r="F838" s="62"/>
      <c r="G838" s="19"/>
      <c r="H838" s="178"/>
      <c r="I838" s="57"/>
      <c r="J838" s="15"/>
      <c r="K838" s="15"/>
      <c r="L838" s="15">
        <f t="shared" si="189"/>
        <v>0</v>
      </c>
      <c r="M838" s="15"/>
      <c r="N838" s="15">
        <f t="shared" si="190"/>
        <v>0</v>
      </c>
      <c r="O838" s="15" t="str">
        <f>IF(AND(A838='BANG KE NL'!$M$11,TH!C838="NL",LEFT(D838,1)="N"),"x","")</f>
        <v/>
      </c>
    </row>
    <row r="839" spans="1:15" hidden="1">
      <c r="A839" s="24" t="str">
        <f t="shared" si="188"/>
        <v/>
      </c>
      <c r="B839" s="176" t="str">
        <f>IF(AND(MONTH(E839)='IN-NX'!$J$5,'IN-NX'!$D$7=(D839&amp;"/"&amp;C839)),"x","")</f>
        <v/>
      </c>
      <c r="C839" s="173"/>
      <c r="D839" s="173"/>
      <c r="E839" s="70"/>
      <c r="F839" s="62"/>
      <c r="G839" s="19"/>
      <c r="H839" s="178"/>
      <c r="I839" s="57"/>
      <c r="J839" s="15"/>
      <c r="K839" s="15"/>
      <c r="L839" s="15">
        <f t="shared" si="189"/>
        <v>0</v>
      </c>
      <c r="M839" s="15"/>
      <c r="N839" s="15">
        <f t="shared" si="190"/>
        <v>0</v>
      </c>
      <c r="O839" s="15" t="str">
        <f>IF(AND(A839='BANG KE NL'!$M$11,TH!C839="NL",LEFT(D839,1)="N"),"x","")</f>
        <v/>
      </c>
    </row>
    <row r="840" spans="1:15" hidden="1">
      <c r="A840" s="24" t="str">
        <f t="shared" si="188"/>
        <v/>
      </c>
      <c r="B840" s="176" t="str">
        <f>IF(AND(MONTH(E840)='IN-NX'!$J$5,'IN-NX'!$D$7=(D840&amp;"/"&amp;C840)),"x","")</f>
        <v/>
      </c>
      <c r="C840" s="173"/>
      <c r="D840" s="173"/>
      <c r="E840" s="70"/>
      <c r="F840" s="62"/>
      <c r="G840" s="19"/>
      <c r="H840" s="178"/>
      <c r="I840" s="57"/>
      <c r="J840" s="15"/>
      <c r="K840" s="15"/>
      <c r="L840" s="15">
        <f t="shared" si="189"/>
        <v>0</v>
      </c>
      <c r="M840" s="15"/>
      <c r="N840" s="15">
        <f t="shared" si="190"/>
        <v>0</v>
      </c>
      <c r="O840" s="15" t="str">
        <f>IF(AND(A840='BANG KE NL'!$M$11,TH!C840="NL",LEFT(D840,1)="N"),"x","")</f>
        <v/>
      </c>
    </row>
    <row r="841" spans="1:15" hidden="1">
      <c r="A841" s="24" t="str">
        <f t="shared" si="188"/>
        <v/>
      </c>
      <c r="B841" s="176" t="str">
        <f>IF(AND(MONTH(E841)='IN-NX'!$J$5,'IN-NX'!$D$7=(D841&amp;"/"&amp;C841)),"x","")</f>
        <v/>
      </c>
      <c r="C841" s="173"/>
      <c r="D841" s="173"/>
      <c r="E841" s="70"/>
      <c r="F841" s="62"/>
      <c r="G841" s="19"/>
      <c r="H841" s="178"/>
      <c r="I841" s="57"/>
      <c r="J841" s="15"/>
      <c r="K841" s="15"/>
      <c r="L841" s="15">
        <f t="shared" si="189"/>
        <v>0</v>
      </c>
      <c r="M841" s="15"/>
      <c r="N841" s="15">
        <f t="shared" si="190"/>
        <v>0</v>
      </c>
      <c r="O841" s="15" t="str">
        <f>IF(AND(A841='BANG KE NL'!$M$11,TH!C841="NL",LEFT(D841,1)="N"),"x","")</f>
        <v/>
      </c>
    </row>
    <row r="842" spans="1:15" hidden="1">
      <c r="A842" s="24" t="str">
        <f t="shared" si="188"/>
        <v/>
      </c>
      <c r="B842" s="176" t="str">
        <f>IF(AND(MONTH(E842)='IN-NX'!$J$5,'IN-NX'!$D$7=(D842&amp;"/"&amp;C842)),"x","")</f>
        <v/>
      </c>
      <c r="C842" s="173"/>
      <c r="D842" s="173"/>
      <c r="E842" s="70"/>
      <c r="F842" s="62"/>
      <c r="G842" s="19"/>
      <c r="H842" s="178"/>
      <c r="I842" s="57"/>
      <c r="J842" s="15"/>
      <c r="K842" s="15"/>
      <c r="L842" s="15">
        <f t="shared" si="189"/>
        <v>0</v>
      </c>
      <c r="M842" s="15"/>
      <c r="N842" s="15">
        <f t="shared" si="190"/>
        <v>0</v>
      </c>
      <c r="O842" s="15" t="str">
        <f>IF(AND(A842='BANG KE NL'!$M$11,TH!C842="NL",LEFT(D842,1)="N"),"x","")</f>
        <v/>
      </c>
    </row>
    <row r="843" spans="1:15" hidden="1">
      <c r="A843" s="24" t="str">
        <f t="shared" si="188"/>
        <v/>
      </c>
      <c r="B843" s="176" t="str">
        <f>IF(AND(MONTH(E843)='IN-NX'!$J$5,'IN-NX'!$D$7=(D843&amp;"/"&amp;C843)),"x","")</f>
        <v/>
      </c>
      <c r="C843" s="173"/>
      <c r="D843" s="173"/>
      <c r="E843" s="70"/>
      <c r="F843" s="62"/>
      <c r="G843" s="19"/>
      <c r="H843" s="178"/>
      <c r="I843" s="57"/>
      <c r="J843" s="15"/>
      <c r="K843" s="15"/>
      <c r="L843" s="15">
        <f t="shared" si="189"/>
        <v>0</v>
      </c>
      <c r="M843" s="15"/>
      <c r="N843" s="15">
        <f t="shared" si="190"/>
        <v>0</v>
      </c>
      <c r="O843" s="15" t="str">
        <f>IF(AND(A843='BANG KE NL'!$M$11,TH!C843="NL",LEFT(D843,1)="N"),"x","")</f>
        <v/>
      </c>
    </row>
    <row r="844" spans="1:15" hidden="1">
      <c r="A844" s="24" t="str">
        <f t="shared" si="188"/>
        <v/>
      </c>
      <c r="B844" s="176" t="str">
        <f>IF(AND(MONTH(E844)='IN-NX'!$J$5,'IN-NX'!$D$7=(D844&amp;"/"&amp;C844)),"x","")</f>
        <v/>
      </c>
      <c r="C844" s="173"/>
      <c r="D844" s="173"/>
      <c r="E844" s="70"/>
      <c r="F844" s="62"/>
      <c r="G844" s="19"/>
      <c r="H844" s="178"/>
      <c r="I844" s="57"/>
      <c r="J844" s="15"/>
      <c r="K844" s="15"/>
      <c r="L844" s="15">
        <f t="shared" si="189"/>
        <v>0</v>
      </c>
      <c r="M844" s="15"/>
      <c r="N844" s="15">
        <f t="shared" si="190"/>
        <v>0</v>
      </c>
      <c r="O844" s="15" t="str">
        <f>IF(AND(A844='BANG KE NL'!$M$11,TH!C844="NL",LEFT(D844,1)="N"),"x","")</f>
        <v/>
      </c>
    </row>
    <row r="845" spans="1:15" hidden="1">
      <c r="A845" s="24" t="str">
        <f t="shared" si="188"/>
        <v/>
      </c>
      <c r="B845" s="176" t="str">
        <f>IF(AND(MONTH(E845)='IN-NX'!$J$5,'IN-NX'!$D$7=(D845&amp;"/"&amp;C845)),"x","")</f>
        <v/>
      </c>
      <c r="C845" s="173"/>
      <c r="D845" s="173"/>
      <c r="E845" s="70"/>
      <c r="F845" s="62"/>
      <c r="G845" s="19"/>
      <c r="H845" s="178"/>
      <c r="I845" s="57"/>
      <c r="J845" s="15"/>
      <c r="K845" s="15"/>
      <c r="L845" s="15">
        <f t="shared" si="189"/>
        <v>0</v>
      </c>
      <c r="M845" s="15"/>
      <c r="N845" s="15">
        <f t="shared" si="190"/>
        <v>0</v>
      </c>
      <c r="O845" s="15" t="str">
        <f>IF(AND(A845='BANG KE NL'!$M$11,TH!C845="NL",LEFT(D845,1)="N"),"x","")</f>
        <v/>
      </c>
    </row>
    <row r="846" spans="1:15" hidden="1">
      <c r="A846" s="24" t="str">
        <f t="shared" si="188"/>
        <v/>
      </c>
      <c r="B846" s="176" t="str">
        <f>IF(AND(MONTH(E846)='IN-NX'!$J$5,'IN-NX'!$D$7=(D846&amp;"/"&amp;C846)),"x","")</f>
        <v/>
      </c>
      <c r="C846" s="173"/>
      <c r="D846" s="173"/>
      <c r="E846" s="70"/>
      <c r="F846" s="62"/>
      <c r="G846" s="19"/>
      <c r="H846" s="178"/>
      <c r="I846" s="57"/>
      <c r="J846" s="15"/>
      <c r="K846" s="15"/>
      <c r="L846" s="15">
        <f t="shared" si="189"/>
        <v>0</v>
      </c>
      <c r="M846" s="15"/>
      <c r="N846" s="15">
        <f t="shared" si="190"/>
        <v>0</v>
      </c>
      <c r="O846" s="15" t="str">
        <f>IF(AND(A846='BANG KE NL'!$M$11,TH!C846="NL",LEFT(D846,1)="N"),"x","")</f>
        <v/>
      </c>
    </row>
    <row r="847" spans="1:15" hidden="1">
      <c r="A847" s="24" t="str">
        <f t="shared" si="188"/>
        <v/>
      </c>
      <c r="B847" s="176" t="str">
        <f>IF(AND(MONTH(E847)='IN-NX'!$J$5,'IN-NX'!$D$7=(D847&amp;"/"&amp;C847)),"x","")</f>
        <v/>
      </c>
      <c r="C847" s="173"/>
      <c r="D847" s="173"/>
      <c r="E847" s="70"/>
      <c r="F847" s="62"/>
      <c r="G847" s="19"/>
      <c r="H847" s="178"/>
      <c r="I847" s="57"/>
      <c r="J847" s="15"/>
      <c r="K847" s="15"/>
      <c r="L847" s="15">
        <f t="shared" si="189"/>
        <v>0</v>
      </c>
      <c r="M847" s="15"/>
      <c r="N847" s="15">
        <f t="shared" si="190"/>
        <v>0</v>
      </c>
      <c r="O847" s="15" t="str">
        <f>IF(AND(A847='BANG KE NL'!$M$11,TH!C847="NL",LEFT(D847,1)="N"),"x","")</f>
        <v/>
      </c>
    </row>
    <row r="848" spans="1:15" hidden="1">
      <c r="A848" s="24" t="str">
        <f t="shared" si="188"/>
        <v/>
      </c>
      <c r="B848" s="176" t="str">
        <f>IF(AND(MONTH(E848)='IN-NX'!$J$5,'IN-NX'!$D$7=(D848&amp;"/"&amp;C848)),"x","")</f>
        <v/>
      </c>
      <c r="C848" s="173"/>
      <c r="D848" s="173"/>
      <c r="E848" s="70"/>
      <c r="F848" s="62"/>
      <c r="G848" s="19"/>
      <c r="H848" s="178"/>
      <c r="I848" s="57"/>
      <c r="J848" s="15"/>
      <c r="K848" s="15"/>
      <c r="L848" s="15">
        <f t="shared" si="189"/>
        <v>0</v>
      </c>
      <c r="M848" s="15"/>
      <c r="N848" s="15">
        <f t="shared" si="190"/>
        <v>0</v>
      </c>
      <c r="O848" s="15" t="str">
        <f>IF(AND(A848='BANG KE NL'!$M$11,TH!C848="NL",LEFT(D848,1)="N"),"x","")</f>
        <v/>
      </c>
    </row>
    <row r="849" spans="1:15" hidden="1">
      <c r="A849" s="24" t="str">
        <f t="shared" si="188"/>
        <v/>
      </c>
      <c r="B849" s="176" t="str">
        <f>IF(AND(MONTH(E849)='IN-NX'!$J$5,'IN-NX'!$D$7=(D849&amp;"/"&amp;C849)),"x","")</f>
        <v/>
      </c>
      <c r="C849" s="173"/>
      <c r="D849" s="173"/>
      <c r="E849" s="70"/>
      <c r="F849" s="62"/>
      <c r="G849" s="19"/>
      <c r="H849" s="178"/>
      <c r="I849" s="57"/>
      <c r="J849" s="15"/>
      <c r="K849" s="15"/>
      <c r="L849" s="15">
        <f t="shared" si="189"/>
        <v>0</v>
      </c>
      <c r="M849" s="15"/>
      <c r="N849" s="15">
        <f t="shared" si="190"/>
        <v>0</v>
      </c>
      <c r="O849" s="15" t="str">
        <f>IF(AND(A849='BANG KE NL'!$M$11,TH!C849="NL",LEFT(D849,1)="N"),"x","")</f>
        <v/>
      </c>
    </row>
    <row r="850" spans="1:15" hidden="1">
      <c r="A850" s="24" t="str">
        <f t="shared" si="188"/>
        <v/>
      </c>
      <c r="B850" s="176" t="str">
        <f>IF(AND(MONTH(E850)='IN-NX'!$J$5,'IN-NX'!$D$7=(D850&amp;"/"&amp;C850)),"x","")</f>
        <v/>
      </c>
      <c r="C850" s="173"/>
      <c r="D850" s="173"/>
      <c r="E850" s="70"/>
      <c r="F850" s="62"/>
      <c r="G850" s="19"/>
      <c r="H850" s="178"/>
      <c r="I850" s="57"/>
      <c r="J850" s="15"/>
      <c r="K850" s="15"/>
      <c r="L850" s="15">
        <f t="shared" si="189"/>
        <v>0</v>
      </c>
      <c r="M850" s="15"/>
      <c r="N850" s="15">
        <f t="shared" si="190"/>
        <v>0</v>
      </c>
      <c r="O850" s="15" t="str">
        <f>IF(AND(A850='BANG KE NL'!$M$11,TH!C850="NL",LEFT(D850,1)="N"),"x","")</f>
        <v/>
      </c>
    </row>
    <row r="851" spans="1:15" hidden="1">
      <c r="A851" s="24" t="str">
        <f t="shared" si="188"/>
        <v/>
      </c>
      <c r="B851" s="176" t="str">
        <f>IF(AND(MONTH(E851)='IN-NX'!$J$5,'IN-NX'!$D$7=(D851&amp;"/"&amp;C851)),"x","")</f>
        <v/>
      </c>
      <c r="C851" s="173"/>
      <c r="D851" s="173"/>
      <c r="E851" s="70"/>
      <c r="F851" s="62"/>
      <c r="G851" s="19"/>
      <c r="H851" s="178"/>
      <c r="I851" s="57"/>
      <c r="J851" s="15"/>
      <c r="K851" s="15"/>
      <c r="L851" s="15">
        <f t="shared" si="189"/>
        <v>0</v>
      </c>
      <c r="M851" s="15"/>
      <c r="N851" s="15">
        <f t="shared" si="190"/>
        <v>0</v>
      </c>
      <c r="O851" s="15" t="str">
        <f>IF(AND(A851='BANG KE NL'!$M$11,TH!C851="NL",LEFT(D851,1)="N"),"x","")</f>
        <v/>
      </c>
    </row>
    <row r="852" spans="1:15" hidden="1">
      <c r="A852" s="24" t="str">
        <f t="shared" si="188"/>
        <v/>
      </c>
      <c r="B852" s="176" t="str">
        <f>IF(AND(MONTH(E852)='IN-NX'!$J$5,'IN-NX'!$D$7=(D852&amp;"/"&amp;C852)),"x","")</f>
        <v/>
      </c>
      <c r="C852" s="173"/>
      <c r="D852" s="173"/>
      <c r="E852" s="70"/>
      <c r="F852" s="62"/>
      <c r="G852" s="19"/>
      <c r="H852" s="178"/>
      <c r="I852" s="57"/>
      <c r="J852" s="15"/>
      <c r="K852" s="15"/>
      <c r="L852" s="15">
        <f t="shared" si="189"/>
        <v>0</v>
      </c>
      <c r="M852" s="15"/>
      <c r="N852" s="15">
        <f t="shared" si="190"/>
        <v>0</v>
      </c>
      <c r="O852" s="15" t="str">
        <f>IF(AND(A852='BANG KE NL'!$M$11,TH!C852="NL",LEFT(D852,1)="N"),"x","")</f>
        <v/>
      </c>
    </row>
    <row r="853" spans="1:15" hidden="1">
      <c r="A853" s="24" t="str">
        <f t="shared" si="188"/>
        <v/>
      </c>
      <c r="B853" s="176" t="str">
        <f>IF(AND(MONTH(E853)='IN-NX'!$J$5,'IN-NX'!$D$7=(D853&amp;"/"&amp;C853)),"x","")</f>
        <v/>
      </c>
      <c r="C853" s="173"/>
      <c r="D853" s="173"/>
      <c r="E853" s="70"/>
      <c r="F853" s="62"/>
      <c r="G853" s="19"/>
      <c r="H853" s="178"/>
      <c r="I853" s="57"/>
      <c r="J853" s="15"/>
      <c r="K853" s="15"/>
      <c r="L853" s="15">
        <f t="shared" si="189"/>
        <v>0</v>
      </c>
      <c r="M853" s="15"/>
      <c r="N853" s="15">
        <f t="shared" si="190"/>
        <v>0</v>
      </c>
      <c r="O853" s="15" t="str">
        <f>IF(AND(A853='BANG KE NL'!$M$11,TH!C853="NL",LEFT(D853,1)="N"),"x","")</f>
        <v/>
      </c>
    </row>
    <row r="854" spans="1:15" hidden="1">
      <c r="A854" s="24" t="str">
        <f t="shared" si="188"/>
        <v/>
      </c>
      <c r="B854" s="176" t="str">
        <f>IF(AND(MONTH(E854)='IN-NX'!$J$5,'IN-NX'!$D$7=(D854&amp;"/"&amp;C854)),"x","")</f>
        <v/>
      </c>
      <c r="C854" s="173"/>
      <c r="D854" s="173"/>
      <c r="E854" s="70"/>
      <c r="F854" s="62"/>
      <c r="G854" s="19"/>
      <c r="H854" s="178"/>
      <c r="I854" s="57"/>
      <c r="J854" s="15"/>
      <c r="K854" s="15"/>
      <c r="L854" s="15">
        <f t="shared" si="189"/>
        <v>0</v>
      </c>
      <c r="M854" s="15"/>
      <c r="N854" s="15">
        <f t="shared" si="190"/>
        <v>0</v>
      </c>
      <c r="O854" s="15" t="str">
        <f>IF(AND(A854='BANG KE NL'!$M$11,TH!C854="NL",LEFT(D854,1)="N"),"x","")</f>
        <v/>
      </c>
    </row>
    <row r="855" spans="1:15" hidden="1">
      <c r="A855" s="24" t="str">
        <f t="shared" si="188"/>
        <v/>
      </c>
      <c r="B855" s="176" t="str">
        <f>IF(AND(MONTH(E855)='IN-NX'!$J$5,'IN-NX'!$D$7=(D855&amp;"/"&amp;C855)),"x","")</f>
        <v/>
      </c>
      <c r="C855" s="173"/>
      <c r="D855" s="173"/>
      <c r="E855" s="70"/>
      <c r="F855" s="62"/>
      <c r="G855" s="19"/>
      <c r="H855" s="178"/>
      <c r="I855" s="57"/>
      <c r="J855" s="15"/>
      <c r="K855" s="15"/>
      <c r="L855" s="15">
        <f t="shared" si="189"/>
        <v>0</v>
      </c>
      <c r="M855" s="15"/>
      <c r="N855" s="15">
        <f t="shared" si="190"/>
        <v>0</v>
      </c>
      <c r="O855" s="15" t="str">
        <f>IF(AND(A855='BANG KE NL'!$M$11,TH!C855="NL",LEFT(D855,1)="N"),"x","")</f>
        <v/>
      </c>
    </row>
    <row r="856" spans="1:15" hidden="1">
      <c r="A856" s="24" t="str">
        <f t="shared" si="188"/>
        <v/>
      </c>
      <c r="B856" s="176" t="str">
        <f>IF(AND(MONTH(E856)='IN-NX'!$J$5,'IN-NX'!$D$7=(D856&amp;"/"&amp;C856)),"x","")</f>
        <v/>
      </c>
      <c r="C856" s="173"/>
      <c r="D856" s="173"/>
      <c r="E856" s="70"/>
      <c r="F856" s="62"/>
      <c r="G856" s="19"/>
      <c r="H856" s="178"/>
      <c r="I856" s="57"/>
      <c r="J856" s="15"/>
      <c r="K856" s="15"/>
      <c r="L856" s="15">
        <f t="shared" si="189"/>
        <v>0</v>
      </c>
      <c r="M856" s="15"/>
      <c r="N856" s="15">
        <f t="shared" si="190"/>
        <v>0</v>
      </c>
      <c r="O856" s="15" t="str">
        <f>IF(AND(A856='BANG KE NL'!$M$11,TH!C856="NL",LEFT(D856,1)="N"),"x","")</f>
        <v/>
      </c>
    </row>
    <row r="857" spans="1:15" hidden="1">
      <c r="A857" s="24" t="str">
        <f t="shared" si="188"/>
        <v/>
      </c>
      <c r="B857" s="176" t="str">
        <f>IF(AND(MONTH(E857)='IN-NX'!$J$5,'IN-NX'!$D$7=(D857&amp;"/"&amp;C857)),"x","")</f>
        <v/>
      </c>
      <c r="C857" s="173"/>
      <c r="D857" s="173"/>
      <c r="E857" s="70"/>
      <c r="F857" s="62"/>
      <c r="G857" s="19"/>
      <c r="H857" s="178"/>
      <c r="I857" s="57"/>
      <c r="J857" s="15"/>
      <c r="K857" s="15"/>
      <c r="L857" s="15">
        <f t="shared" si="189"/>
        <v>0</v>
      </c>
      <c r="M857" s="15"/>
      <c r="N857" s="15">
        <f t="shared" si="190"/>
        <v>0</v>
      </c>
      <c r="O857" s="15" t="str">
        <f>IF(AND(A857='BANG KE NL'!$M$11,TH!C857="NL",LEFT(D857,1)="N"),"x","")</f>
        <v/>
      </c>
    </row>
    <row r="858" spans="1:15" hidden="1">
      <c r="A858" s="24" t="str">
        <f t="shared" si="188"/>
        <v/>
      </c>
      <c r="B858" s="176" t="str">
        <f>IF(AND(MONTH(E858)='IN-NX'!$J$5,'IN-NX'!$D$7=(D858&amp;"/"&amp;C858)),"x","")</f>
        <v/>
      </c>
      <c r="C858" s="173"/>
      <c r="D858" s="173"/>
      <c r="E858" s="70"/>
      <c r="F858" s="62"/>
      <c r="G858" s="19"/>
      <c r="H858" s="178"/>
      <c r="I858" s="57"/>
      <c r="J858" s="15"/>
      <c r="K858" s="15"/>
      <c r="L858" s="15">
        <f t="shared" si="189"/>
        <v>0</v>
      </c>
      <c r="M858" s="15"/>
      <c r="N858" s="15">
        <f t="shared" si="190"/>
        <v>0</v>
      </c>
      <c r="O858" s="15" t="str">
        <f>IF(AND(A858='BANG KE NL'!$M$11,TH!C858="NL",LEFT(D858,1)="N"),"x","")</f>
        <v/>
      </c>
    </row>
    <row r="859" spans="1:15" hidden="1">
      <c r="A859" s="24" t="str">
        <f t="shared" si="188"/>
        <v/>
      </c>
      <c r="B859" s="176" t="str">
        <f>IF(AND(MONTH(E859)='IN-NX'!$J$5,'IN-NX'!$D$7=(D859&amp;"/"&amp;C859)),"x","")</f>
        <v/>
      </c>
      <c r="C859" s="173"/>
      <c r="D859" s="173"/>
      <c r="E859" s="70"/>
      <c r="F859" s="62"/>
      <c r="G859" s="19"/>
      <c r="H859" s="178"/>
      <c r="I859" s="57"/>
      <c r="J859" s="15"/>
      <c r="K859" s="15"/>
      <c r="L859" s="15">
        <f t="shared" si="189"/>
        <v>0</v>
      </c>
      <c r="M859" s="15"/>
      <c r="N859" s="15">
        <f t="shared" si="190"/>
        <v>0</v>
      </c>
      <c r="O859" s="15" t="str">
        <f>IF(AND(A859='BANG KE NL'!$M$11,TH!C859="NL",LEFT(D859,1)="N"),"x","")</f>
        <v/>
      </c>
    </row>
    <row r="860" spans="1:15" hidden="1">
      <c r="A860" s="24" t="str">
        <f t="shared" si="188"/>
        <v/>
      </c>
      <c r="B860" s="176" t="str">
        <f>IF(AND(MONTH(E860)='IN-NX'!$J$5,'IN-NX'!$D$7=(D860&amp;"/"&amp;C860)),"x","")</f>
        <v/>
      </c>
      <c r="C860" s="173"/>
      <c r="D860" s="173"/>
      <c r="E860" s="70"/>
      <c r="F860" s="62"/>
      <c r="G860" s="19"/>
      <c r="H860" s="178"/>
      <c r="I860" s="57"/>
      <c r="J860" s="15"/>
      <c r="K860" s="15"/>
      <c r="L860" s="15">
        <f t="shared" si="189"/>
        <v>0</v>
      </c>
      <c r="M860" s="15"/>
      <c r="N860" s="15">
        <f t="shared" si="190"/>
        <v>0</v>
      </c>
      <c r="O860" s="15" t="str">
        <f>IF(AND(A860='BANG KE NL'!$M$11,TH!C860="NL",LEFT(D860,1)="N"),"x","")</f>
        <v/>
      </c>
    </row>
    <row r="861" spans="1:15" hidden="1">
      <c r="A861" s="24" t="str">
        <f t="shared" si="188"/>
        <v/>
      </c>
      <c r="B861" s="176" t="str">
        <f>IF(AND(MONTH(E861)='IN-NX'!$J$5,'IN-NX'!$D$7=(D861&amp;"/"&amp;C861)),"x","")</f>
        <v/>
      </c>
      <c r="C861" s="173"/>
      <c r="D861" s="173"/>
      <c r="E861" s="70"/>
      <c r="F861" s="62"/>
      <c r="G861" s="19"/>
      <c r="H861" s="178"/>
      <c r="I861" s="57"/>
      <c r="J861" s="15"/>
      <c r="K861" s="15"/>
      <c r="L861" s="15">
        <f t="shared" si="189"/>
        <v>0</v>
      </c>
      <c r="M861" s="15"/>
      <c r="N861" s="15">
        <f t="shared" si="190"/>
        <v>0</v>
      </c>
      <c r="O861" s="15" t="str">
        <f>IF(AND(A861='BANG KE NL'!$M$11,TH!C861="NL",LEFT(D861,1)="N"),"x","")</f>
        <v/>
      </c>
    </row>
    <row r="862" spans="1:15" hidden="1">
      <c r="A862" s="24" t="str">
        <f t="shared" si="188"/>
        <v/>
      </c>
      <c r="B862" s="176" t="str">
        <f>IF(AND(MONTH(E862)='IN-NX'!$J$5,'IN-NX'!$D$7=(D862&amp;"/"&amp;C862)),"x","")</f>
        <v/>
      </c>
      <c r="C862" s="173"/>
      <c r="D862" s="173"/>
      <c r="E862" s="70"/>
      <c r="F862" s="62"/>
      <c r="G862" s="19"/>
      <c r="H862" s="178"/>
      <c r="I862" s="57"/>
      <c r="J862" s="15"/>
      <c r="K862" s="15"/>
      <c r="L862" s="15">
        <f t="shared" si="189"/>
        <v>0</v>
      </c>
      <c r="M862" s="15"/>
      <c r="N862" s="15">
        <f t="shared" si="190"/>
        <v>0</v>
      </c>
      <c r="O862" s="15" t="str">
        <f>IF(AND(A862='BANG KE NL'!$M$11,TH!C862="NL",LEFT(D862,1)="N"),"x","")</f>
        <v/>
      </c>
    </row>
    <row r="863" spans="1:15" hidden="1">
      <c r="A863" s="24" t="str">
        <f t="shared" si="188"/>
        <v/>
      </c>
      <c r="B863" s="176" t="str">
        <f>IF(AND(MONTH(E863)='IN-NX'!$J$5,'IN-NX'!$D$7=(D863&amp;"/"&amp;C863)),"x","")</f>
        <v/>
      </c>
      <c r="C863" s="173"/>
      <c r="D863" s="173"/>
      <c r="E863" s="70"/>
      <c r="F863" s="62"/>
      <c r="G863" s="19"/>
      <c r="H863" s="178"/>
      <c r="I863" s="57"/>
      <c r="J863" s="15"/>
      <c r="K863" s="15"/>
      <c r="L863" s="15">
        <f t="shared" si="189"/>
        <v>0</v>
      </c>
      <c r="M863" s="15"/>
      <c r="N863" s="15">
        <f t="shared" si="190"/>
        <v>0</v>
      </c>
      <c r="O863" s="15" t="str">
        <f>IF(AND(A863='BANG KE NL'!$M$11,TH!C863="NL",LEFT(D863,1)="N"),"x","")</f>
        <v/>
      </c>
    </row>
    <row r="864" spans="1:15" hidden="1">
      <c r="A864" s="24" t="str">
        <f t="shared" si="188"/>
        <v/>
      </c>
      <c r="B864" s="176" t="str">
        <f>IF(AND(MONTH(E864)='IN-NX'!$J$5,'IN-NX'!$D$7=(D864&amp;"/"&amp;C864)),"x","")</f>
        <v/>
      </c>
      <c r="C864" s="173"/>
      <c r="D864" s="173"/>
      <c r="E864" s="70"/>
      <c r="F864" s="62"/>
      <c r="G864" s="19"/>
      <c r="H864" s="178"/>
      <c r="I864" s="57"/>
      <c r="J864" s="15"/>
      <c r="K864" s="15"/>
      <c r="L864" s="15">
        <f t="shared" si="189"/>
        <v>0</v>
      </c>
      <c r="M864" s="15"/>
      <c r="N864" s="15">
        <f t="shared" si="190"/>
        <v>0</v>
      </c>
      <c r="O864" s="15" t="str">
        <f>IF(AND(A864='BANG KE NL'!$M$11,TH!C864="NL",LEFT(D864,1)="N"),"x","")</f>
        <v/>
      </c>
    </row>
    <row r="865" spans="1:15" hidden="1">
      <c r="A865" s="24" t="str">
        <f t="shared" si="188"/>
        <v/>
      </c>
      <c r="B865" s="176" t="str">
        <f>IF(AND(MONTH(E865)='IN-NX'!$J$5,'IN-NX'!$D$7=(D865&amp;"/"&amp;C865)),"x","")</f>
        <v/>
      </c>
      <c r="C865" s="173"/>
      <c r="D865" s="173"/>
      <c r="E865" s="70"/>
      <c r="F865" s="62"/>
      <c r="G865" s="19"/>
      <c r="H865" s="178"/>
      <c r="I865" s="57"/>
      <c r="J865" s="15"/>
      <c r="K865" s="15"/>
      <c r="L865" s="15">
        <f t="shared" si="189"/>
        <v>0</v>
      </c>
      <c r="M865" s="15"/>
      <c r="N865" s="15">
        <f t="shared" si="190"/>
        <v>0</v>
      </c>
      <c r="O865" s="15" t="str">
        <f>IF(AND(A865='BANG KE NL'!$M$11,TH!C865="NL",LEFT(D865,1)="N"),"x","")</f>
        <v/>
      </c>
    </row>
    <row r="866" spans="1:15" hidden="1">
      <c r="A866" s="24" t="str">
        <f t="shared" si="188"/>
        <v/>
      </c>
      <c r="B866" s="176" t="str">
        <f>IF(AND(MONTH(E866)='IN-NX'!$J$5,'IN-NX'!$D$7=(D866&amp;"/"&amp;C866)),"x","")</f>
        <v/>
      </c>
      <c r="C866" s="173"/>
      <c r="D866" s="173"/>
      <c r="E866" s="70"/>
      <c r="F866" s="62"/>
      <c r="G866" s="19"/>
      <c r="H866" s="178"/>
      <c r="I866" s="57"/>
      <c r="J866" s="15"/>
      <c r="K866" s="15"/>
      <c r="L866" s="15">
        <f t="shared" si="189"/>
        <v>0</v>
      </c>
      <c r="M866" s="15"/>
      <c r="N866" s="15">
        <f t="shared" si="190"/>
        <v>0</v>
      </c>
      <c r="O866" s="15" t="str">
        <f>IF(AND(A866='BANG KE NL'!$M$11,TH!C866="NL",LEFT(D866,1)="N"),"x","")</f>
        <v/>
      </c>
    </row>
    <row r="867" spans="1:15" hidden="1">
      <c r="A867" s="24" t="str">
        <f t="shared" si="188"/>
        <v/>
      </c>
      <c r="B867" s="176" t="str">
        <f>IF(AND(MONTH(E867)='IN-NX'!$J$5,'IN-NX'!$D$7=(D867&amp;"/"&amp;C867)),"x","")</f>
        <v/>
      </c>
      <c r="C867" s="173"/>
      <c r="D867" s="173"/>
      <c r="E867" s="70"/>
      <c r="F867" s="62"/>
      <c r="G867" s="19"/>
      <c r="H867" s="178"/>
      <c r="I867" s="57"/>
      <c r="J867" s="15"/>
      <c r="K867" s="15"/>
      <c r="L867" s="15">
        <f t="shared" si="189"/>
        <v>0</v>
      </c>
      <c r="M867" s="15"/>
      <c r="N867" s="15">
        <f t="shared" si="190"/>
        <v>0</v>
      </c>
      <c r="O867" s="15" t="str">
        <f>IF(AND(A867='BANG KE NL'!$M$11,TH!C867="NL",LEFT(D867,1)="N"),"x","")</f>
        <v/>
      </c>
    </row>
    <row r="868" spans="1:15" hidden="1">
      <c r="A868" s="24" t="str">
        <f t="shared" si="188"/>
        <v/>
      </c>
      <c r="B868" s="176" t="str">
        <f>IF(AND(MONTH(E868)='IN-NX'!$J$5,'IN-NX'!$D$7=(D868&amp;"/"&amp;C868)),"x","")</f>
        <v/>
      </c>
      <c r="C868" s="173"/>
      <c r="D868" s="173"/>
      <c r="E868" s="70"/>
      <c r="F868" s="62"/>
      <c r="G868" s="19"/>
      <c r="H868" s="178"/>
      <c r="I868" s="57"/>
      <c r="J868" s="15"/>
      <c r="K868" s="15"/>
      <c r="L868" s="15">
        <f t="shared" si="189"/>
        <v>0</v>
      </c>
      <c r="M868" s="15"/>
      <c r="N868" s="15">
        <f t="shared" si="190"/>
        <v>0</v>
      </c>
      <c r="O868" s="15" t="str">
        <f>IF(AND(A868='BANG KE NL'!$M$11,TH!C868="NL",LEFT(D868,1)="N"),"x","")</f>
        <v/>
      </c>
    </row>
    <row r="869" spans="1:15" hidden="1">
      <c r="A869" s="24" t="str">
        <f t="shared" ref="A869:A932" si="191">IF(E869&lt;&gt;"",MONTH(E869),"")</f>
        <v/>
      </c>
      <c r="B869" s="176" t="str">
        <f>IF(AND(MONTH(E869)='IN-NX'!$J$5,'IN-NX'!$D$7=(D869&amp;"/"&amp;C869)),"x","")</f>
        <v/>
      </c>
      <c r="C869" s="173"/>
      <c r="D869" s="173"/>
      <c r="E869" s="70"/>
      <c r="F869" s="62"/>
      <c r="G869" s="19"/>
      <c r="H869" s="178"/>
      <c r="I869" s="57"/>
      <c r="J869" s="15"/>
      <c r="K869" s="15"/>
      <c r="L869" s="15">
        <f t="shared" si="189"/>
        <v>0</v>
      </c>
      <c r="M869" s="15"/>
      <c r="N869" s="15">
        <f t="shared" si="190"/>
        <v>0</v>
      </c>
      <c r="O869" s="15" t="str">
        <f>IF(AND(A869='BANG KE NL'!$M$11,TH!C869="NL",LEFT(D869,1)="N"),"x","")</f>
        <v/>
      </c>
    </row>
    <row r="870" spans="1:15" hidden="1">
      <c r="A870" s="24" t="str">
        <f t="shared" si="191"/>
        <v/>
      </c>
      <c r="B870" s="176" t="str">
        <f>IF(AND(MONTH(E870)='IN-NX'!$J$5,'IN-NX'!$D$7=(D870&amp;"/"&amp;C870)),"x","")</f>
        <v/>
      </c>
      <c r="C870" s="173"/>
      <c r="D870" s="173"/>
      <c r="E870" s="70"/>
      <c r="F870" s="62"/>
      <c r="G870" s="19"/>
      <c r="H870" s="178"/>
      <c r="I870" s="57"/>
      <c r="J870" s="15"/>
      <c r="K870" s="15"/>
      <c r="L870" s="15">
        <f t="shared" si="189"/>
        <v>0</v>
      </c>
      <c r="M870" s="15"/>
      <c r="N870" s="15">
        <f t="shared" si="190"/>
        <v>0</v>
      </c>
      <c r="O870" s="15" t="str">
        <f>IF(AND(A870='BANG KE NL'!$M$11,TH!C870="NL",LEFT(D870,1)="N"),"x","")</f>
        <v/>
      </c>
    </row>
    <row r="871" spans="1:15" hidden="1">
      <c r="A871" s="24" t="str">
        <f t="shared" si="191"/>
        <v/>
      </c>
      <c r="B871" s="176" t="str">
        <f>IF(AND(MONTH(E871)='IN-NX'!$J$5,'IN-NX'!$D$7=(D871&amp;"/"&amp;C871)),"x","")</f>
        <v/>
      </c>
      <c r="C871" s="173"/>
      <c r="D871" s="173"/>
      <c r="E871" s="70"/>
      <c r="F871" s="62"/>
      <c r="G871" s="19"/>
      <c r="H871" s="178"/>
      <c r="I871" s="57"/>
      <c r="J871" s="15"/>
      <c r="K871" s="15"/>
      <c r="L871" s="15">
        <f t="shared" si="189"/>
        <v>0</v>
      </c>
      <c r="M871" s="15"/>
      <c r="N871" s="15">
        <f t="shared" si="190"/>
        <v>0</v>
      </c>
      <c r="O871" s="15" t="str">
        <f>IF(AND(A871='BANG KE NL'!$M$11,TH!C871="NL",LEFT(D871,1)="N"),"x","")</f>
        <v/>
      </c>
    </row>
    <row r="872" spans="1:15" hidden="1">
      <c r="A872" s="24" t="str">
        <f t="shared" si="191"/>
        <v/>
      </c>
      <c r="B872" s="176" t="str">
        <f>IF(AND(MONTH(E872)='IN-NX'!$J$5,'IN-NX'!$D$7=(D872&amp;"/"&amp;C872)),"x","")</f>
        <v/>
      </c>
      <c r="C872" s="173"/>
      <c r="D872" s="173"/>
      <c r="E872" s="70"/>
      <c r="F872" s="62"/>
      <c r="G872" s="19"/>
      <c r="H872" s="178"/>
      <c r="I872" s="57"/>
      <c r="J872" s="15"/>
      <c r="K872" s="15"/>
      <c r="L872" s="15">
        <f t="shared" si="189"/>
        <v>0</v>
      </c>
      <c r="M872" s="15"/>
      <c r="N872" s="15">
        <f t="shared" si="190"/>
        <v>0</v>
      </c>
      <c r="O872" s="15" t="str">
        <f>IF(AND(A872='BANG KE NL'!$M$11,TH!C872="NL",LEFT(D872,1)="N"),"x","")</f>
        <v/>
      </c>
    </row>
    <row r="873" spans="1:15" hidden="1">
      <c r="A873" s="24" t="str">
        <f t="shared" si="191"/>
        <v/>
      </c>
      <c r="B873" s="176" t="str">
        <f>IF(AND(MONTH(E873)='IN-NX'!$J$5,'IN-NX'!$D$7=(D873&amp;"/"&amp;C873)),"x","")</f>
        <v/>
      </c>
      <c r="C873" s="173"/>
      <c r="D873" s="173"/>
      <c r="E873" s="70"/>
      <c r="F873" s="62"/>
      <c r="G873" s="19"/>
      <c r="H873" s="178"/>
      <c r="I873" s="57"/>
      <c r="J873" s="15"/>
      <c r="K873" s="15"/>
      <c r="L873" s="15">
        <f t="shared" si="189"/>
        <v>0</v>
      </c>
      <c r="M873" s="15"/>
      <c r="N873" s="15">
        <f t="shared" si="190"/>
        <v>0</v>
      </c>
      <c r="O873" s="15" t="str">
        <f>IF(AND(A873='BANG KE NL'!$M$11,TH!C873="NL",LEFT(D873,1)="N"),"x","")</f>
        <v/>
      </c>
    </row>
    <row r="874" spans="1:15" hidden="1">
      <c r="A874" s="24" t="str">
        <f t="shared" si="191"/>
        <v/>
      </c>
      <c r="B874" s="176" t="str">
        <f>IF(AND(MONTH(E874)='IN-NX'!$J$5,'IN-NX'!$D$7=(D874&amp;"/"&amp;C874)),"x","")</f>
        <v/>
      </c>
      <c r="C874" s="173"/>
      <c r="D874" s="173"/>
      <c r="E874" s="70"/>
      <c r="F874" s="62"/>
      <c r="G874" s="19"/>
      <c r="H874" s="178"/>
      <c r="I874" s="57"/>
      <c r="J874" s="15"/>
      <c r="K874" s="15"/>
      <c r="L874" s="15">
        <f t="shared" si="189"/>
        <v>0</v>
      </c>
      <c r="M874" s="15"/>
      <c r="N874" s="15">
        <f t="shared" si="190"/>
        <v>0</v>
      </c>
      <c r="O874" s="15" t="str">
        <f>IF(AND(A874='BANG KE NL'!$M$11,TH!C874="NL",LEFT(D874,1)="N"),"x","")</f>
        <v/>
      </c>
    </row>
    <row r="875" spans="1:15" hidden="1">
      <c r="A875" s="24" t="str">
        <f t="shared" si="191"/>
        <v/>
      </c>
      <c r="B875" s="176" t="str">
        <f>IF(AND(MONTH(E875)='IN-NX'!$J$5,'IN-NX'!$D$7=(D875&amp;"/"&amp;C875)),"x","")</f>
        <v/>
      </c>
      <c r="C875" s="173"/>
      <c r="D875" s="173"/>
      <c r="E875" s="70"/>
      <c r="F875" s="62"/>
      <c r="G875" s="19"/>
      <c r="H875" s="178"/>
      <c r="I875" s="57"/>
      <c r="J875" s="15"/>
      <c r="K875" s="15"/>
      <c r="L875" s="15">
        <f t="shared" si="189"/>
        <v>0</v>
      </c>
      <c r="M875" s="15"/>
      <c r="N875" s="15">
        <f t="shared" si="190"/>
        <v>0</v>
      </c>
      <c r="O875" s="15" t="str">
        <f>IF(AND(A875='BANG KE NL'!$M$11,TH!C875="NL",LEFT(D875,1)="N"),"x","")</f>
        <v/>
      </c>
    </row>
    <row r="876" spans="1:15" hidden="1">
      <c r="A876" s="24" t="str">
        <f t="shared" si="191"/>
        <v/>
      </c>
      <c r="B876" s="176" t="str">
        <f>IF(AND(MONTH(E876)='IN-NX'!$J$5,'IN-NX'!$D$7=(D876&amp;"/"&amp;C876)),"x","")</f>
        <v/>
      </c>
      <c r="C876" s="173"/>
      <c r="D876" s="173"/>
      <c r="E876" s="70"/>
      <c r="F876" s="62"/>
      <c r="G876" s="19"/>
      <c r="H876" s="178"/>
      <c r="I876" s="57"/>
      <c r="J876" s="15"/>
      <c r="K876" s="15"/>
      <c r="L876" s="15">
        <f t="shared" si="189"/>
        <v>0</v>
      </c>
      <c r="M876" s="15"/>
      <c r="N876" s="15">
        <f t="shared" si="190"/>
        <v>0</v>
      </c>
      <c r="O876" s="15" t="str">
        <f>IF(AND(A876='BANG KE NL'!$M$11,TH!C876="NL",LEFT(D876,1)="N"),"x","")</f>
        <v/>
      </c>
    </row>
    <row r="877" spans="1:15" hidden="1">
      <c r="A877" s="24" t="str">
        <f t="shared" si="191"/>
        <v/>
      </c>
      <c r="B877" s="176" t="str">
        <f>IF(AND(MONTH(E877)='IN-NX'!$J$5,'IN-NX'!$D$7=(D877&amp;"/"&amp;C877)),"x","")</f>
        <v/>
      </c>
      <c r="C877" s="173"/>
      <c r="D877" s="173"/>
      <c r="E877" s="70"/>
      <c r="F877" s="62"/>
      <c r="G877" s="19"/>
      <c r="H877" s="178"/>
      <c r="I877" s="57"/>
      <c r="J877" s="15"/>
      <c r="K877" s="15"/>
      <c r="L877" s="15">
        <f t="shared" ref="L877:L940" si="192">ROUND(J877*K877,0)</f>
        <v>0</v>
      </c>
      <c r="M877" s="15"/>
      <c r="N877" s="15">
        <f t="shared" ref="N877:N940" si="193">ROUND(J877*M877,0)</f>
        <v>0</v>
      </c>
      <c r="O877" s="15" t="str">
        <f>IF(AND(A877='BANG KE NL'!$M$11,TH!C877="NL",LEFT(D877,1)="N"),"x","")</f>
        <v/>
      </c>
    </row>
    <row r="878" spans="1:15" hidden="1">
      <c r="A878" s="24" t="str">
        <f t="shared" si="191"/>
        <v/>
      </c>
      <c r="B878" s="176" t="str">
        <f>IF(AND(MONTH(E878)='IN-NX'!$J$5,'IN-NX'!$D$7=(D878&amp;"/"&amp;C878)),"x","")</f>
        <v/>
      </c>
      <c r="C878" s="173"/>
      <c r="D878" s="173"/>
      <c r="E878" s="70"/>
      <c r="F878" s="62"/>
      <c r="G878" s="19"/>
      <c r="H878" s="178"/>
      <c r="I878" s="57"/>
      <c r="J878" s="15"/>
      <c r="K878" s="15"/>
      <c r="L878" s="15">
        <f t="shared" si="192"/>
        <v>0</v>
      </c>
      <c r="M878" s="15"/>
      <c r="N878" s="15">
        <f t="shared" si="193"/>
        <v>0</v>
      </c>
      <c r="O878" s="15" t="str">
        <f>IF(AND(A878='BANG KE NL'!$M$11,TH!C878="NL",LEFT(D878,1)="N"),"x","")</f>
        <v/>
      </c>
    </row>
    <row r="879" spans="1:15" hidden="1">
      <c r="A879" s="24" t="str">
        <f t="shared" si="191"/>
        <v/>
      </c>
      <c r="B879" s="176" t="str">
        <f>IF(AND(MONTH(E879)='IN-NX'!$J$5,'IN-NX'!$D$7=(D879&amp;"/"&amp;C879)),"x","")</f>
        <v/>
      </c>
      <c r="C879" s="173"/>
      <c r="D879" s="173"/>
      <c r="E879" s="70"/>
      <c r="F879" s="62"/>
      <c r="G879" s="19"/>
      <c r="H879" s="178"/>
      <c r="I879" s="57"/>
      <c r="J879" s="15"/>
      <c r="K879" s="15"/>
      <c r="L879" s="15">
        <f t="shared" si="192"/>
        <v>0</v>
      </c>
      <c r="M879" s="15"/>
      <c r="N879" s="15">
        <f t="shared" si="193"/>
        <v>0</v>
      </c>
      <c r="O879" s="15" t="str">
        <f>IF(AND(A879='BANG KE NL'!$M$11,TH!C879="NL",LEFT(D879,1)="N"),"x","")</f>
        <v/>
      </c>
    </row>
    <row r="880" spans="1:15" hidden="1">
      <c r="A880" s="24" t="str">
        <f t="shared" si="191"/>
        <v/>
      </c>
      <c r="B880" s="176" t="str">
        <f>IF(AND(MONTH(E880)='IN-NX'!$J$5,'IN-NX'!$D$7=(D880&amp;"/"&amp;C880)),"x","")</f>
        <v/>
      </c>
      <c r="C880" s="173"/>
      <c r="D880" s="173"/>
      <c r="E880" s="70"/>
      <c r="F880" s="62"/>
      <c r="G880" s="19"/>
      <c r="H880" s="178"/>
      <c r="I880" s="57"/>
      <c r="J880" s="15"/>
      <c r="K880" s="15"/>
      <c r="L880" s="15">
        <f t="shared" si="192"/>
        <v>0</v>
      </c>
      <c r="M880" s="15"/>
      <c r="N880" s="15">
        <f t="shared" si="193"/>
        <v>0</v>
      </c>
      <c r="O880" s="15" t="str">
        <f>IF(AND(A880='BANG KE NL'!$M$11,TH!C880="NL",LEFT(D880,1)="N"),"x","")</f>
        <v/>
      </c>
    </row>
    <row r="881" spans="1:15" hidden="1">
      <c r="A881" s="24" t="str">
        <f t="shared" si="191"/>
        <v/>
      </c>
      <c r="B881" s="176" t="str">
        <f>IF(AND(MONTH(E881)='IN-NX'!$J$5,'IN-NX'!$D$7=(D881&amp;"/"&amp;C881)),"x","")</f>
        <v/>
      </c>
      <c r="C881" s="173"/>
      <c r="D881" s="173"/>
      <c r="E881" s="70"/>
      <c r="F881" s="62"/>
      <c r="G881" s="19"/>
      <c r="H881" s="178"/>
      <c r="I881" s="57"/>
      <c r="J881" s="15"/>
      <c r="K881" s="15"/>
      <c r="L881" s="15">
        <f t="shared" si="192"/>
        <v>0</v>
      </c>
      <c r="M881" s="15"/>
      <c r="N881" s="15">
        <f t="shared" si="193"/>
        <v>0</v>
      </c>
      <c r="O881" s="15" t="str">
        <f>IF(AND(A881='BANG KE NL'!$M$11,TH!C881="NL",LEFT(D881,1)="N"),"x","")</f>
        <v/>
      </c>
    </row>
    <row r="882" spans="1:15" hidden="1">
      <c r="A882" s="24" t="str">
        <f t="shared" si="191"/>
        <v/>
      </c>
      <c r="B882" s="176" t="str">
        <f>IF(AND(MONTH(E882)='IN-NX'!$J$5,'IN-NX'!$D$7=(D882&amp;"/"&amp;C882)),"x","")</f>
        <v/>
      </c>
      <c r="C882" s="173"/>
      <c r="D882" s="173"/>
      <c r="E882" s="70"/>
      <c r="F882" s="62"/>
      <c r="G882" s="19"/>
      <c r="H882" s="178"/>
      <c r="I882" s="57"/>
      <c r="J882" s="15"/>
      <c r="K882" s="15"/>
      <c r="L882" s="15">
        <f t="shared" si="192"/>
        <v>0</v>
      </c>
      <c r="M882" s="15"/>
      <c r="N882" s="15">
        <f t="shared" si="193"/>
        <v>0</v>
      </c>
      <c r="O882" s="15" t="str">
        <f>IF(AND(A882='BANG KE NL'!$M$11,TH!C882="NL",LEFT(D882,1)="N"),"x","")</f>
        <v/>
      </c>
    </row>
    <row r="883" spans="1:15" hidden="1">
      <c r="A883" s="24" t="str">
        <f t="shared" si="191"/>
        <v/>
      </c>
      <c r="B883" s="176" t="str">
        <f>IF(AND(MONTH(E883)='IN-NX'!$J$5,'IN-NX'!$D$7=(D883&amp;"/"&amp;C883)),"x","")</f>
        <v/>
      </c>
      <c r="C883" s="173"/>
      <c r="D883" s="173"/>
      <c r="E883" s="70"/>
      <c r="F883" s="62"/>
      <c r="G883" s="19"/>
      <c r="H883" s="178"/>
      <c r="I883" s="57"/>
      <c r="J883" s="15"/>
      <c r="K883" s="15"/>
      <c r="L883" s="15">
        <f t="shared" si="192"/>
        <v>0</v>
      </c>
      <c r="M883" s="15"/>
      <c r="N883" s="15">
        <f t="shared" si="193"/>
        <v>0</v>
      </c>
      <c r="O883" s="15" t="str">
        <f>IF(AND(A883='BANG KE NL'!$M$11,TH!C883="NL",LEFT(D883,1)="N"),"x","")</f>
        <v/>
      </c>
    </row>
    <row r="884" spans="1:15" hidden="1">
      <c r="A884" s="24" t="str">
        <f t="shared" si="191"/>
        <v/>
      </c>
      <c r="B884" s="176" t="str">
        <f>IF(AND(MONTH(E884)='IN-NX'!$J$5,'IN-NX'!$D$7=(D884&amp;"/"&amp;C884)),"x","")</f>
        <v/>
      </c>
      <c r="C884" s="173"/>
      <c r="D884" s="173"/>
      <c r="E884" s="70"/>
      <c r="F884" s="62"/>
      <c r="G884" s="19"/>
      <c r="H884" s="178"/>
      <c r="I884" s="57"/>
      <c r="J884" s="15"/>
      <c r="K884" s="15"/>
      <c r="L884" s="15">
        <f t="shared" si="192"/>
        <v>0</v>
      </c>
      <c r="M884" s="15"/>
      <c r="N884" s="15">
        <f t="shared" si="193"/>
        <v>0</v>
      </c>
      <c r="O884" s="15" t="str">
        <f>IF(AND(A884='BANG KE NL'!$M$11,TH!C884="NL",LEFT(D884,1)="N"),"x","")</f>
        <v/>
      </c>
    </row>
    <row r="885" spans="1:15" hidden="1">
      <c r="A885" s="24" t="str">
        <f t="shared" si="191"/>
        <v/>
      </c>
      <c r="B885" s="176" t="str">
        <f>IF(AND(MONTH(E885)='IN-NX'!$J$5,'IN-NX'!$D$7=(D885&amp;"/"&amp;C885)),"x","")</f>
        <v/>
      </c>
      <c r="C885" s="173"/>
      <c r="D885" s="173"/>
      <c r="E885" s="70"/>
      <c r="F885" s="62"/>
      <c r="G885" s="19"/>
      <c r="H885" s="178"/>
      <c r="I885" s="57"/>
      <c r="J885" s="15"/>
      <c r="K885" s="15"/>
      <c r="L885" s="15">
        <f t="shared" si="192"/>
        <v>0</v>
      </c>
      <c r="M885" s="15"/>
      <c r="N885" s="15">
        <f t="shared" si="193"/>
        <v>0</v>
      </c>
      <c r="O885" s="15" t="str">
        <f>IF(AND(A885='BANG KE NL'!$M$11,TH!C885="NL",LEFT(D885,1)="N"),"x","")</f>
        <v/>
      </c>
    </row>
    <row r="886" spans="1:15" hidden="1">
      <c r="A886" s="24" t="str">
        <f t="shared" si="191"/>
        <v/>
      </c>
      <c r="B886" s="176" t="str">
        <f>IF(AND(MONTH(E886)='IN-NX'!$J$5,'IN-NX'!$D$7=(D886&amp;"/"&amp;C886)),"x","")</f>
        <v/>
      </c>
      <c r="C886" s="173"/>
      <c r="D886" s="173"/>
      <c r="E886" s="70"/>
      <c r="F886" s="62"/>
      <c r="G886" s="19"/>
      <c r="H886" s="178"/>
      <c r="I886" s="57"/>
      <c r="J886" s="15"/>
      <c r="K886" s="15"/>
      <c r="L886" s="15">
        <f t="shared" si="192"/>
        <v>0</v>
      </c>
      <c r="M886" s="15"/>
      <c r="N886" s="15">
        <f t="shared" si="193"/>
        <v>0</v>
      </c>
      <c r="O886" s="15" t="str">
        <f>IF(AND(A886='BANG KE NL'!$M$11,TH!C886="NL",LEFT(D886,1)="N"),"x","")</f>
        <v/>
      </c>
    </row>
    <row r="887" spans="1:15" hidden="1">
      <c r="A887" s="24" t="str">
        <f t="shared" si="191"/>
        <v/>
      </c>
      <c r="B887" s="176" t="str">
        <f>IF(AND(MONTH(E887)='IN-NX'!$J$5,'IN-NX'!$D$7=(D887&amp;"/"&amp;C887)),"x","")</f>
        <v/>
      </c>
      <c r="C887" s="173"/>
      <c r="D887" s="173"/>
      <c r="E887" s="70"/>
      <c r="F887" s="62"/>
      <c r="G887" s="19"/>
      <c r="H887" s="178"/>
      <c r="I887" s="57"/>
      <c r="J887" s="15"/>
      <c r="K887" s="15"/>
      <c r="L887" s="15">
        <f t="shared" si="192"/>
        <v>0</v>
      </c>
      <c r="M887" s="15"/>
      <c r="N887" s="15">
        <f t="shared" si="193"/>
        <v>0</v>
      </c>
      <c r="O887" s="15" t="str">
        <f>IF(AND(A887='BANG KE NL'!$M$11,TH!C887="NL",LEFT(D887,1)="N"),"x","")</f>
        <v/>
      </c>
    </row>
    <row r="888" spans="1:15" hidden="1">
      <c r="A888" s="24" t="str">
        <f t="shared" si="191"/>
        <v/>
      </c>
      <c r="B888" s="176" t="str">
        <f>IF(AND(MONTH(E888)='IN-NX'!$J$5,'IN-NX'!$D$7=(D888&amp;"/"&amp;C888)),"x","")</f>
        <v/>
      </c>
      <c r="C888" s="173"/>
      <c r="D888" s="173"/>
      <c r="E888" s="70"/>
      <c r="F888" s="62"/>
      <c r="G888" s="19"/>
      <c r="H888" s="178"/>
      <c r="I888" s="57"/>
      <c r="J888" s="15"/>
      <c r="K888" s="15"/>
      <c r="L888" s="15">
        <f t="shared" si="192"/>
        <v>0</v>
      </c>
      <c r="M888" s="15"/>
      <c r="N888" s="15">
        <f t="shared" si="193"/>
        <v>0</v>
      </c>
      <c r="O888" s="15" t="str">
        <f>IF(AND(A888='BANG KE NL'!$M$11,TH!C888="NL",LEFT(D888,1)="N"),"x","")</f>
        <v/>
      </c>
    </row>
    <row r="889" spans="1:15" hidden="1">
      <c r="A889" s="24" t="str">
        <f t="shared" si="191"/>
        <v/>
      </c>
      <c r="B889" s="176" t="str">
        <f>IF(AND(MONTH(E889)='IN-NX'!$J$5,'IN-NX'!$D$7=(D889&amp;"/"&amp;C889)),"x","")</f>
        <v/>
      </c>
      <c r="C889" s="173"/>
      <c r="D889" s="173"/>
      <c r="E889" s="70"/>
      <c r="F889" s="62"/>
      <c r="G889" s="19"/>
      <c r="H889" s="178"/>
      <c r="I889" s="57"/>
      <c r="J889" s="15"/>
      <c r="K889" s="15"/>
      <c r="L889" s="15">
        <f t="shared" si="192"/>
        <v>0</v>
      </c>
      <c r="M889" s="15"/>
      <c r="N889" s="15">
        <f t="shared" si="193"/>
        <v>0</v>
      </c>
      <c r="O889" s="15" t="str">
        <f>IF(AND(A889='BANG KE NL'!$M$11,TH!C889="NL",LEFT(D889,1)="N"),"x","")</f>
        <v/>
      </c>
    </row>
    <row r="890" spans="1:15" hidden="1">
      <c r="A890" s="24" t="str">
        <f t="shared" si="191"/>
        <v/>
      </c>
      <c r="B890" s="176" t="str">
        <f>IF(AND(MONTH(E890)='IN-NX'!$J$5,'IN-NX'!$D$7=(D890&amp;"/"&amp;C890)),"x","")</f>
        <v/>
      </c>
      <c r="C890" s="173"/>
      <c r="D890" s="173"/>
      <c r="E890" s="70"/>
      <c r="F890" s="62"/>
      <c r="G890" s="19"/>
      <c r="H890" s="178"/>
      <c r="I890" s="57"/>
      <c r="J890" s="15"/>
      <c r="K890" s="15"/>
      <c r="L890" s="15">
        <f t="shared" si="192"/>
        <v>0</v>
      </c>
      <c r="M890" s="15"/>
      <c r="N890" s="15">
        <f t="shared" si="193"/>
        <v>0</v>
      </c>
      <c r="O890" s="15" t="str">
        <f>IF(AND(A890='BANG KE NL'!$M$11,TH!C890="NL",LEFT(D890,1)="N"),"x","")</f>
        <v/>
      </c>
    </row>
    <row r="891" spans="1:15" hidden="1">
      <c r="A891" s="24" t="str">
        <f t="shared" si="191"/>
        <v/>
      </c>
      <c r="B891" s="176" t="str">
        <f>IF(AND(MONTH(E891)='IN-NX'!$J$5,'IN-NX'!$D$7=(D891&amp;"/"&amp;C891)),"x","")</f>
        <v/>
      </c>
      <c r="C891" s="173"/>
      <c r="D891" s="173"/>
      <c r="E891" s="70"/>
      <c r="F891" s="62"/>
      <c r="G891" s="19"/>
      <c r="H891" s="178"/>
      <c r="I891" s="57"/>
      <c r="J891" s="15"/>
      <c r="K891" s="15"/>
      <c r="L891" s="15">
        <f t="shared" si="192"/>
        <v>0</v>
      </c>
      <c r="M891" s="15"/>
      <c r="N891" s="15">
        <f t="shared" si="193"/>
        <v>0</v>
      </c>
      <c r="O891" s="15" t="str">
        <f>IF(AND(A891='BANG KE NL'!$M$11,TH!C891="NL",LEFT(D891,1)="N"),"x","")</f>
        <v/>
      </c>
    </row>
    <row r="892" spans="1:15" hidden="1">
      <c r="A892" s="24" t="str">
        <f t="shared" si="191"/>
        <v/>
      </c>
      <c r="B892" s="176" t="str">
        <f>IF(AND(MONTH(E892)='IN-NX'!$J$5,'IN-NX'!$D$7=(D892&amp;"/"&amp;C892)),"x","")</f>
        <v/>
      </c>
      <c r="C892" s="173"/>
      <c r="D892" s="173"/>
      <c r="E892" s="70"/>
      <c r="F892" s="62"/>
      <c r="G892" s="19"/>
      <c r="H892" s="178"/>
      <c r="I892" s="57"/>
      <c r="J892" s="15"/>
      <c r="K892" s="15"/>
      <c r="L892" s="15">
        <f t="shared" si="192"/>
        <v>0</v>
      </c>
      <c r="M892" s="15"/>
      <c r="N892" s="15">
        <f t="shared" si="193"/>
        <v>0</v>
      </c>
      <c r="O892" s="15" t="str">
        <f>IF(AND(A892='BANG KE NL'!$M$11,TH!C892="NL",LEFT(D892,1)="N"),"x","")</f>
        <v/>
      </c>
    </row>
    <row r="893" spans="1:15" hidden="1">
      <c r="A893" s="24" t="str">
        <f t="shared" si="191"/>
        <v/>
      </c>
      <c r="B893" s="176" t="str">
        <f>IF(AND(MONTH(E893)='IN-NX'!$J$5,'IN-NX'!$D$7=(D893&amp;"/"&amp;C893)),"x","")</f>
        <v/>
      </c>
      <c r="C893" s="173"/>
      <c r="D893" s="173"/>
      <c r="E893" s="70"/>
      <c r="F893" s="62"/>
      <c r="G893" s="19"/>
      <c r="H893" s="178"/>
      <c r="I893" s="57"/>
      <c r="J893" s="15"/>
      <c r="K893" s="15"/>
      <c r="L893" s="15">
        <f t="shared" si="192"/>
        <v>0</v>
      </c>
      <c r="M893" s="15"/>
      <c r="N893" s="15">
        <f t="shared" si="193"/>
        <v>0</v>
      </c>
      <c r="O893" s="15" t="str">
        <f>IF(AND(A893='BANG KE NL'!$M$11,TH!C893="NL",LEFT(D893,1)="N"),"x","")</f>
        <v/>
      </c>
    </row>
    <row r="894" spans="1:15" hidden="1">
      <c r="A894" s="24" t="str">
        <f t="shared" si="191"/>
        <v/>
      </c>
      <c r="B894" s="176" t="str">
        <f>IF(AND(MONTH(E894)='IN-NX'!$J$5,'IN-NX'!$D$7=(D894&amp;"/"&amp;C894)),"x","")</f>
        <v/>
      </c>
      <c r="C894" s="173"/>
      <c r="D894" s="173"/>
      <c r="E894" s="70"/>
      <c r="F894" s="62"/>
      <c r="G894" s="19"/>
      <c r="H894" s="178"/>
      <c r="I894" s="57"/>
      <c r="J894" s="15"/>
      <c r="K894" s="15"/>
      <c r="L894" s="15">
        <f t="shared" si="192"/>
        <v>0</v>
      </c>
      <c r="M894" s="15"/>
      <c r="N894" s="15">
        <f t="shared" si="193"/>
        <v>0</v>
      </c>
      <c r="O894" s="15" t="str">
        <f>IF(AND(A894='BANG KE NL'!$M$11,TH!C894="NL",LEFT(D894,1)="N"),"x","")</f>
        <v/>
      </c>
    </row>
    <row r="895" spans="1:15" hidden="1">
      <c r="A895" s="24" t="str">
        <f t="shared" si="191"/>
        <v/>
      </c>
      <c r="B895" s="176" t="str">
        <f>IF(AND(MONTH(E895)='IN-NX'!$J$5,'IN-NX'!$D$7=(D895&amp;"/"&amp;C895)),"x","")</f>
        <v/>
      </c>
      <c r="C895" s="173"/>
      <c r="D895" s="173"/>
      <c r="E895" s="70"/>
      <c r="F895" s="62"/>
      <c r="G895" s="19"/>
      <c r="H895" s="178"/>
      <c r="I895" s="57"/>
      <c r="J895" s="15"/>
      <c r="K895" s="15"/>
      <c r="L895" s="15">
        <f t="shared" si="192"/>
        <v>0</v>
      </c>
      <c r="M895" s="15"/>
      <c r="N895" s="15">
        <f t="shared" si="193"/>
        <v>0</v>
      </c>
      <c r="O895" s="15" t="str">
        <f>IF(AND(A895='BANG KE NL'!$M$11,TH!C895="NL",LEFT(D895,1)="N"),"x","")</f>
        <v/>
      </c>
    </row>
    <row r="896" spans="1:15" hidden="1">
      <c r="A896" s="24" t="str">
        <f t="shared" si="191"/>
        <v/>
      </c>
      <c r="B896" s="176" t="str">
        <f>IF(AND(MONTH(E896)='IN-NX'!$J$5,'IN-NX'!$D$7=(D896&amp;"/"&amp;C896)),"x","")</f>
        <v/>
      </c>
      <c r="C896" s="173"/>
      <c r="D896" s="173"/>
      <c r="E896" s="70"/>
      <c r="F896" s="62"/>
      <c r="G896" s="19"/>
      <c r="H896" s="178"/>
      <c r="I896" s="57"/>
      <c r="J896" s="15"/>
      <c r="K896" s="15"/>
      <c r="L896" s="15">
        <f t="shared" si="192"/>
        <v>0</v>
      </c>
      <c r="M896" s="15"/>
      <c r="N896" s="15">
        <f t="shared" si="193"/>
        <v>0</v>
      </c>
      <c r="O896" s="15" t="str">
        <f>IF(AND(A896='BANG KE NL'!$M$11,TH!C896="NL",LEFT(D896,1)="N"),"x","")</f>
        <v/>
      </c>
    </row>
    <row r="897" spans="1:15" hidden="1">
      <c r="A897" s="24" t="str">
        <f t="shared" si="191"/>
        <v/>
      </c>
      <c r="B897" s="176" t="str">
        <f>IF(AND(MONTH(E897)='IN-NX'!$J$5,'IN-NX'!$D$7=(D897&amp;"/"&amp;C897)),"x","")</f>
        <v/>
      </c>
      <c r="C897" s="173"/>
      <c r="D897" s="173"/>
      <c r="E897" s="70"/>
      <c r="F897" s="62"/>
      <c r="G897" s="19"/>
      <c r="H897" s="178"/>
      <c r="I897" s="57"/>
      <c r="J897" s="15"/>
      <c r="K897" s="15"/>
      <c r="L897" s="15">
        <f t="shared" si="192"/>
        <v>0</v>
      </c>
      <c r="M897" s="15"/>
      <c r="N897" s="15">
        <f t="shared" si="193"/>
        <v>0</v>
      </c>
      <c r="O897" s="15" t="str">
        <f>IF(AND(A897='BANG KE NL'!$M$11,TH!C897="NL",LEFT(D897,1)="N"),"x","")</f>
        <v/>
      </c>
    </row>
    <row r="898" spans="1:15" hidden="1">
      <c r="A898" s="24" t="str">
        <f t="shared" si="191"/>
        <v/>
      </c>
      <c r="B898" s="176" t="str">
        <f>IF(AND(MONTH(E898)='IN-NX'!$J$5,'IN-NX'!$D$7=(D898&amp;"/"&amp;C898)),"x","")</f>
        <v/>
      </c>
      <c r="C898" s="173"/>
      <c r="D898" s="173"/>
      <c r="E898" s="70"/>
      <c r="F898" s="62"/>
      <c r="G898" s="19"/>
      <c r="H898" s="178"/>
      <c r="I898" s="57"/>
      <c r="J898" s="15"/>
      <c r="K898" s="15"/>
      <c r="L898" s="15">
        <f t="shared" si="192"/>
        <v>0</v>
      </c>
      <c r="M898" s="15"/>
      <c r="N898" s="15">
        <f t="shared" si="193"/>
        <v>0</v>
      </c>
      <c r="O898" s="15" t="str">
        <f>IF(AND(A898='BANG KE NL'!$M$11,TH!C898="NL",LEFT(D898,1)="N"),"x","")</f>
        <v/>
      </c>
    </row>
    <row r="899" spans="1:15" hidden="1">
      <c r="A899" s="24" t="str">
        <f t="shared" si="191"/>
        <v/>
      </c>
      <c r="B899" s="176" t="str">
        <f>IF(AND(MONTH(E899)='IN-NX'!$J$5,'IN-NX'!$D$7=(D899&amp;"/"&amp;C899)),"x","")</f>
        <v/>
      </c>
      <c r="C899" s="173"/>
      <c r="D899" s="173"/>
      <c r="E899" s="70"/>
      <c r="F899" s="62"/>
      <c r="G899" s="19"/>
      <c r="H899" s="178"/>
      <c r="I899" s="57"/>
      <c r="J899" s="15"/>
      <c r="K899" s="15"/>
      <c r="L899" s="15">
        <f t="shared" si="192"/>
        <v>0</v>
      </c>
      <c r="M899" s="15"/>
      <c r="N899" s="15">
        <f t="shared" si="193"/>
        <v>0</v>
      </c>
      <c r="O899" s="15" t="str">
        <f>IF(AND(A899='BANG KE NL'!$M$11,TH!C899="NL",LEFT(D899,1)="N"),"x","")</f>
        <v/>
      </c>
    </row>
    <row r="900" spans="1:15" hidden="1">
      <c r="A900" s="24" t="str">
        <f t="shared" si="191"/>
        <v/>
      </c>
      <c r="B900" s="176" t="str">
        <f>IF(AND(MONTH(E900)='IN-NX'!$J$5,'IN-NX'!$D$7=(D900&amp;"/"&amp;C900)),"x","")</f>
        <v/>
      </c>
      <c r="C900" s="173"/>
      <c r="D900" s="173"/>
      <c r="E900" s="70"/>
      <c r="F900" s="62"/>
      <c r="G900" s="19"/>
      <c r="H900" s="178"/>
      <c r="I900" s="57"/>
      <c r="J900" s="15"/>
      <c r="K900" s="15"/>
      <c r="L900" s="15">
        <f t="shared" si="192"/>
        <v>0</v>
      </c>
      <c r="M900" s="15"/>
      <c r="N900" s="15">
        <f t="shared" si="193"/>
        <v>0</v>
      </c>
      <c r="O900" s="15" t="str">
        <f>IF(AND(A900='BANG KE NL'!$M$11,TH!C900="NL",LEFT(D900,1)="N"),"x","")</f>
        <v/>
      </c>
    </row>
    <row r="901" spans="1:15" hidden="1">
      <c r="A901" s="24" t="str">
        <f t="shared" si="191"/>
        <v/>
      </c>
      <c r="B901" s="176" t="str">
        <f>IF(AND(MONTH(E901)='IN-NX'!$J$5,'IN-NX'!$D$7=(D901&amp;"/"&amp;C901)),"x","")</f>
        <v/>
      </c>
      <c r="C901" s="173"/>
      <c r="D901" s="173"/>
      <c r="E901" s="70"/>
      <c r="F901" s="62"/>
      <c r="G901" s="19"/>
      <c r="H901" s="178"/>
      <c r="I901" s="57"/>
      <c r="J901" s="15"/>
      <c r="K901" s="15"/>
      <c r="L901" s="15">
        <f t="shared" si="192"/>
        <v>0</v>
      </c>
      <c r="M901" s="15"/>
      <c r="N901" s="15">
        <f t="shared" si="193"/>
        <v>0</v>
      </c>
      <c r="O901" s="15" t="str">
        <f>IF(AND(A901='BANG KE NL'!$M$11,TH!C901="NL",LEFT(D901,1)="N"),"x","")</f>
        <v/>
      </c>
    </row>
    <row r="902" spans="1:15" hidden="1">
      <c r="A902" s="24" t="str">
        <f t="shared" si="191"/>
        <v/>
      </c>
      <c r="B902" s="176" t="str">
        <f>IF(AND(MONTH(E902)='IN-NX'!$J$5,'IN-NX'!$D$7=(D902&amp;"/"&amp;C902)),"x","")</f>
        <v/>
      </c>
      <c r="C902" s="173"/>
      <c r="D902" s="173"/>
      <c r="E902" s="70"/>
      <c r="F902" s="62"/>
      <c r="G902" s="19"/>
      <c r="H902" s="178"/>
      <c r="I902" s="57"/>
      <c r="J902" s="15"/>
      <c r="K902" s="15"/>
      <c r="L902" s="15">
        <f t="shared" si="192"/>
        <v>0</v>
      </c>
      <c r="M902" s="15"/>
      <c r="N902" s="15">
        <f t="shared" si="193"/>
        <v>0</v>
      </c>
      <c r="O902" s="15" t="str">
        <f>IF(AND(A902='BANG KE NL'!$M$11,TH!C902="NL",LEFT(D902,1)="N"),"x","")</f>
        <v/>
      </c>
    </row>
    <row r="903" spans="1:15" hidden="1">
      <c r="A903" s="24" t="str">
        <f t="shared" si="191"/>
        <v/>
      </c>
      <c r="B903" s="176" t="str">
        <f>IF(AND(MONTH(E903)='IN-NX'!$J$5,'IN-NX'!$D$7=(D903&amp;"/"&amp;C903)),"x","")</f>
        <v/>
      </c>
      <c r="C903" s="173"/>
      <c r="D903" s="173"/>
      <c r="E903" s="70"/>
      <c r="F903" s="62"/>
      <c r="G903" s="19"/>
      <c r="H903" s="178"/>
      <c r="I903" s="57"/>
      <c r="J903" s="15"/>
      <c r="K903" s="15"/>
      <c r="L903" s="15">
        <f t="shared" si="192"/>
        <v>0</v>
      </c>
      <c r="M903" s="15"/>
      <c r="N903" s="15">
        <f t="shared" si="193"/>
        <v>0</v>
      </c>
      <c r="O903" s="15" t="str">
        <f>IF(AND(A903='BANG KE NL'!$M$11,TH!C903="NL",LEFT(D903,1)="N"),"x","")</f>
        <v/>
      </c>
    </row>
    <row r="904" spans="1:15" hidden="1">
      <c r="A904" s="24" t="str">
        <f t="shared" si="191"/>
        <v/>
      </c>
      <c r="B904" s="176" t="str">
        <f>IF(AND(MONTH(E904)='IN-NX'!$J$5,'IN-NX'!$D$7=(D904&amp;"/"&amp;C904)),"x","")</f>
        <v/>
      </c>
      <c r="C904" s="173"/>
      <c r="D904" s="173"/>
      <c r="E904" s="70"/>
      <c r="F904" s="62"/>
      <c r="G904" s="19"/>
      <c r="H904" s="178"/>
      <c r="I904" s="57"/>
      <c r="J904" s="15"/>
      <c r="K904" s="15"/>
      <c r="L904" s="15">
        <f t="shared" si="192"/>
        <v>0</v>
      </c>
      <c r="M904" s="15"/>
      <c r="N904" s="15">
        <f t="shared" si="193"/>
        <v>0</v>
      </c>
      <c r="O904" s="15" t="str">
        <f>IF(AND(A904='BANG KE NL'!$M$11,TH!C904="NL",LEFT(D904,1)="N"),"x","")</f>
        <v/>
      </c>
    </row>
    <row r="905" spans="1:15" hidden="1">
      <c r="A905" s="24" t="str">
        <f t="shared" si="191"/>
        <v/>
      </c>
      <c r="B905" s="176" t="str">
        <f>IF(AND(MONTH(E905)='IN-NX'!$J$5,'IN-NX'!$D$7=(D905&amp;"/"&amp;C905)),"x","")</f>
        <v/>
      </c>
      <c r="C905" s="173"/>
      <c r="D905" s="173"/>
      <c r="E905" s="70"/>
      <c r="F905" s="62"/>
      <c r="G905" s="19"/>
      <c r="H905" s="178"/>
      <c r="I905" s="57"/>
      <c r="J905" s="15"/>
      <c r="K905" s="15"/>
      <c r="L905" s="15">
        <f t="shared" si="192"/>
        <v>0</v>
      </c>
      <c r="M905" s="15"/>
      <c r="N905" s="15">
        <f t="shared" si="193"/>
        <v>0</v>
      </c>
      <c r="O905" s="15" t="str">
        <f>IF(AND(A905='BANG KE NL'!$M$11,TH!C905="NL",LEFT(D905,1)="N"),"x","")</f>
        <v/>
      </c>
    </row>
    <row r="906" spans="1:15" hidden="1">
      <c r="A906" s="24" t="str">
        <f t="shared" si="191"/>
        <v/>
      </c>
      <c r="B906" s="176" t="str">
        <f>IF(AND(MONTH(E906)='IN-NX'!$J$5,'IN-NX'!$D$7=(D906&amp;"/"&amp;C906)),"x","")</f>
        <v/>
      </c>
      <c r="C906" s="173"/>
      <c r="D906" s="173"/>
      <c r="E906" s="70"/>
      <c r="F906" s="62"/>
      <c r="G906" s="19"/>
      <c r="H906" s="178"/>
      <c r="I906" s="57"/>
      <c r="J906" s="15"/>
      <c r="K906" s="15"/>
      <c r="L906" s="15">
        <f t="shared" si="192"/>
        <v>0</v>
      </c>
      <c r="M906" s="15"/>
      <c r="N906" s="15">
        <f t="shared" si="193"/>
        <v>0</v>
      </c>
      <c r="O906" s="15" t="str">
        <f>IF(AND(A906='BANG KE NL'!$M$11,TH!C906="NL",LEFT(D906,1)="N"),"x","")</f>
        <v/>
      </c>
    </row>
    <row r="907" spans="1:15" hidden="1">
      <c r="A907" s="24" t="str">
        <f t="shared" si="191"/>
        <v/>
      </c>
      <c r="B907" s="176" t="str">
        <f>IF(AND(MONTH(E907)='IN-NX'!$J$5,'IN-NX'!$D$7=(D907&amp;"/"&amp;C907)),"x","")</f>
        <v/>
      </c>
      <c r="C907" s="173"/>
      <c r="D907" s="173"/>
      <c r="E907" s="70"/>
      <c r="F907" s="62"/>
      <c r="G907" s="19"/>
      <c r="H907" s="178"/>
      <c r="I907" s="57"/>
      <c r="J907" s="15"/>
      <c r="K907" s="15"/>
      <c r="L907" s="15">
        <f t="shared" si="192"/>
        <v>0</v>
      </c>
      <c r="M907" s="15"/>
      <c r="N907" s="15">
        <f t="shared" si="193"/>
        <v>0</v>
      </c>
      <c r="O907" s="15" t="str">
        <f>IF(AND(A907='BANG KE NL'!$M$11,TH!C907="NL",LEFT(D907,1)="N"),"x","")</f>
        <v/>
      </c>
    </row>
    <row r="908" spans="1:15" hidden="1">
      <c r="A908" s="24" t="str">
        <f t="shared" si="191"/>
        <v/>
      </c>
      <c r="B908" s="176" t="str">
        <f>IF(AND(MONTH(E908)='IN-NX'!$J$5,'IN-NX'!$D$7=(D908&amp;"/"&amp;C908)),"x","")</f>
        <v/>
      </c>
      <c r="C908" s="173"/>
      <c r="D908" s="173"/>
      <c r="E908" s="70"/>
      <c r="F908" s="62"/>
      <c r="G908" s="19"/>
      <c r="H908" s="178"/>
      <c r="I908" s="57"/>
      <c r="J908" s="15"/>
      <c r="K908" s="15"/>
      <c r="L908" s="15">
        <f t="shared" si="192"/>
        <v>0</v>
      </c>
      <c r="M908" s="15"/>
      <c r="N908" s="15">
        <f t="shared" si="193"/>
        <v>0</v>
      </c>
      <c r="O908" s="15" t="str">
        <f>IF(AND(A908='BANG KE NL'!$M$11,TH!C908="NL",LEFT(D908,1)="N"),"x","")</f>
        <v/>
      </c>
    </row>
    <row r="909" spans="1:15" hidden="1">
      <c r="A909" s="24" t="str">
        <f t="shared" si="191"/>
        <v/>
      </c>
      <c r="B909" s="176" t="str">
        <f>IF(AND(MONTH(E909)='IN-NX'!$J$5,'IN-NX'!$D$7=(D909&amp;"/"&amp;C909)),"x","")</f>
        <v/>
      </c>
      <c r="C909" s="173"/>
      <c r="D909" s="173"/>
      <c r="E909" s="70"/>
      <c r="F909" s="62"/>
      <c r="G909" s="19"/>
      <c r="H909" s="178"/>
      <c r="I909" s="57"/>
      <c r="J909" s="15"/>
      <c r="K909" s="15"/>
      <c r="L909" s="15">
        <f t="shared" si="192"/>
        <v>0</v>
      </c>
      <c r="M909" s="15"/>
      <c r="N909" s="15">
        <f t="shared" si="193"/>
        <v>0</v>
      </c>
      <c r="O909" s="15" t="str">
        <f>IF(AND(A909='BANG KE NL'!$M$11,TH!C909="NL",LEFT(D909,1)="N"),"x","")</f>
        <v/>
      </c>
    </row>
    <row r="910" spans="1:15" hidden="1">
      <c r="A910" s="24" t="str">
        <f t="shared" si="191"/>
        <v/>
      </c>
      <c r="B910" s="176" t="str">
        <f>IF(AND(MONTH(E910)='IN-NX'!$J$5,'IN-NX'!$D$7=(D910&amp;"/"&amp;C910)),"x","")</f>
        <v/>
      </c>
      <c r="C910" s="173"/>
      <c r="D910" s="173"/>
      <c r="E910" s="70"/>
      <c r="F910" s="62"/>
      <c r="G910" s="19"/>
      <c r="H910" s="178"/>
      <c r="I910" s="57"/>
      <c r="J910" s="15"/>
      <c r="K910" s="15"/>
      <c r="L910" s="15">
        <f t="shared" si="192"/>
        <v>0</v>
      </c>
      <c r="M910" s="15"/>
      <c r="N910" s="15">
        <f t="shared" si="193"/>
        <v>0</v>
      </c>
      <c r="O910" s="15" t="str">
        <f>IF(AND(A910='BANG KE NL'!$M$11,TH!C910="NL",LEFT(D910,1)="N"),"x","")</f>
        <v/>
      </c>
    </row>
    <row r="911" spans="1:15" hidden="1">
      <c r="A911" s="24" t="str">
        <f t="shared" si="191"/>
        <v/>
      </c>
      <c r="B911" s="176" t="str">
        <f>IF(AND(MONTH(E911)='IN-NX'!$J$5,'IN-NX'!$D$7=(D911&amp;"/"&amp;C911)),"x","")</f>
        <v/>
      </c>
      <c r="C911" s="173"/>
      <c r="D911" s="173"/>
      <c r="E911" s="70"/>
      <c r="F911" s="62"/>
      <c r="G911" s="19"/>
      <c r="H911" s="178"/>
      <c r="I911" s="57"/>
      <c r="J911" s="15"/>
      <c r="K911" s="15"/>
      <c r="L911" s="15">
        <f t="shared" si="192"/>
        <v>0</v>
      </c>
      <c r="M911" s="15"/>
      <c r="N911" s="15">
        <f t="shared" si="193"/>
        <v>0</v>
      </c>
      <c r="O911" s="15" t="str">
        <f>IF(AND(A911='BANG KE NL'!$M$11,TH!C911="NL",LEFT(D911,1)="N"),"x","")</f>
        <v/>
      </c>
    </row>
    <row r="912" spans="1:15" hidden="1">
      <c r="A912" s="24" t="str">
        <f t="shared" si="191"/>
        <v/>
      </c>
      <c r="B912" s="176" t="str">
        <f>IF(AND(MONTH(E912)='IN-NX'!$J$5,'IN-NX'!$D$7=(D912&amp;"/"&amp;C912)),"x","")</f>
        <v/>
      </c>
      <c r="C912" s="173"/>
      <c r="D912" s="173"/>
      <c r="E912" s="70"/>
      <c r="F912" s="62"/>
      <c r="G912" s="19"/>
      <c r="H912" s="178"/>
      <c r="I912" s="57"/>
      <c r="J912" s="15"/>
      <c r="K912" s="15"/>
      <c r="L912" s="15">
        <f t="shared" si="192"/>
        <v>0</v>
      </c>
      <c r="M912" s="15"/>
      <c r="N912" s="15">
        <f t="shared" si="193"/>
        <v>0</v>
      </c>
      <c r="O912" s="15" t="str">
        <f>IF(AND(A912='BANG KE NL'!$M$11,TH!C912="NL",LEFT(D912,1)="N"),"x","")</f>
        <v/>
      </c>
    </row>
    <row r="913" spans="1:15" hidden="1">
      <c r="A913" s="24" t="str">
        <f t="shared" si="191"/>
        <v/>
      </c>
      <c r="B913" s="176" t="str">
        <f>IF(AND(MONTH(E913)='IN-NX'!$J$5,'IN-NX'!$D$7=(D913&amp;"/"&amp;C913)),"x","")</f>
        <v/>
      </c>
      <c r="C913" s="173"/>
      <c r="D913" s="173"/>
      <c r="E913" s="70"/>
      <c r="F913" s="62"/>
      <c r="G913" s="19"/>
      <c r="H913" s="178"/>
      <c r="I913" s="57"/>
      <c r="J913" s="15"/>
      <c r="K913" s="15"/>
      <c r="L913" s="15">
        <f t="shared" si="192"/>
        <v>0</v>
      </c>
      <c r="M913" s="15"/>
      <c r="N913" s="15">
        <f t="shared" si="193"/>
        <v>0</v>
      </c>
      <c r="O913" s="15" t="str">
        <f>IF(AND(A913='BANG KE NL'!$M$11,TH!C913="NL",LEFT(D913,1)="N"),"x","")</f>
        <v/>
      </c>
    </row>
    <row r="914" spans="1:15" hidden="1">
      <c r="A914" s="24" t="str">
        <f t="shared" si="191"/>
        <v/>
      </c>
      <c r="B914" s="176" t="str">
        <f>IF(AND(MONTH(E914)='IN-NX'!$J$5,'IN-NX'!$D$7=(D914&amp;"/"&amp;C914)),"x","")</f>
        <v/>
      </c>
      <c r="C914" s="173"/>
      <c r="D914" s="173"/>
      <c r="E914" s="70"/>
      <c r="F914" s="62"/>
      <c r="G914" s="19"/>
      <c r="H914" s="178"/>
      <c r="I914" s="57"/>
      <c r="J914" s="15"/>
      <c r="K914" s="15"/>
      <c r="L914" s="15">
        <f t="shared" si="192"/>
        <v>0</v>
      </c>
      <c r="M914" s="15"/>
      <c r="N914" s="15">
        <f t="shared" si="193"/>
        <v>0</v>
      </c>
      <c r="O914" s="15" t="str">
        <f>IF(AND(A914='BANG KE NL'!$M$11,TH!C914="NL",LEFT(D914,1)="N"),"x","")</f>
        <v/>
      </c>
    </row>
    <row r="915" spans="1:15" hidden="1">
      <c r="A915" s="24" t="str">
        <f t="shared" si="191"/>
        <v/>
      </c>
      <c r="B915" s="176" t="str">
        <f>IF(AND(MONTH(E915)='IN-NX'!$J$5,'IN-NX'!$D$7=(D915&amp;"/"&amp;C915)),"x","")</f>
        <v/>
      </c>
      <c r="C915" s="173"/>
      <c r="D915" s="173"/>
      <c r="E915" s="70"/>
      <c r="F915" s="62"/>
      <c r="G915" s="19"/>
      <c r="H915" s="178"/>
      <c r="I915" s="57"/>
      <c r="J915" s="15"/>
      <c r="K915" s="15"/>
      <c r="L915" s="15">
        <f t="shared" si="192"/>
        <v>0</v>
      </c>
      <c r="M915" s="15"/>
      <c r="N915" s="15">
        <f t="shared" si="193"/>
        <v>0</v>
      </c>
      <c r="O915" s="15" t="str">
        <f>IF(AND(A915='BANG KE NL'!$M$11,TH!C915="NL",LEFT(D915,1)="N"),"x","")</f>
        <v/>
      </c>
    </row>
    <row r="916" spans="1:15" hidden="1">
      <c r="A916" s="24" t="str">
        <f t="shared" si="191"/>
        <v/>
      </c>
      <c r="B916" s="176" t="str">
        <f>IF(AND(MONTH(E916)='IN-NX'!$J$5,'IN-NX'!$D$7=(D916&amp;"/"&amp;C916)),"x","")</f>
        <v/>
      </c>
      <c r="C916" s="173"/>
      <c r="D916" s="173"/>
      <c r="E916" s="70"/>
      <c r="F916" s="62"/>
      <c r="G916" s="19"/>
      <c r="H916" s="178"/>
      <c r="I916" s="57"/>
      <c r="J916" s="15"/>
      <c r="K916" s="15"/>
      <c r="L916" s="15">
        <f t="shared" si="192"/>
        <v>0</v>
      </c>
      <c r="M916" s="15"/>
      <c r="N916" s="15">
        <f t="shared" si="193"/>
        <v>0</v>
      </c>
      <c r="O916" s="15" t="str">
        <f>IF(AND(A916='BANG KE NL'!$M$11,TH!C916="NL",LEFT(D916,1)="N"),"x","")</f>
        <v/>
      </c>
    </row>
    <row r="917" spans="1:15" hidden="1">
      <c r="A917" s="24" t="str">
        <f t="shared" si="191"/>
        <v/>
      </c>
      <c r="B917" s="176" t="str">
        <f>IF(AND(MONTH(E917)='IN-NX'!$J$5,'IN-NX'!$D$7=(D917&amp;"/"&amp;C917)),"x","")</f>
        <v/>
      </c>
      <c r="C917" s="173"/>
      <c r="D917" s="173"/>
      <c r="E917" s="70"/>
      <c r="F917" s="62"/>
      <c r="G917" s="19"/>
      <c r="H917" s="178"/>
      <c r="I917" s="57"/>
      <c r="J917" s="15"/>
      <c r="K917" s="15"/>
      <c r="L917" s="15">
        <f t="shared" si="192"/>
        <v>0</v>
      </c>
      <c r="M917" s="15"/>
      <c r="N917" s="15">
        <f t="shared" si="193"/>
        <v>0</v>
      </c>
      <c r="O917" s="15" t="str">
        <f>IF(AND(A917='BANG KE NL'!$M$11,TH!C917="NL",LEFT(D917,1)="N"),"x","")</f>
        <v/>
      </c>
    </row>
    <row r="918" spans="1:15" hidden="1">
      <c r="A918" s="24" t="str">
        <f t="shared" si="191"/>
        <v/>
      </c>
      <c r="B918" s="176" t="str">
        <f>IF(AND(MONTH(E918)='IN-NX'!$J$5,'IN-NX'!$D$7=(D918&amp;"/"&amp;C918)),"x","")</f>
        <v/>
      </c>
      <c r="C918" s="173"/>
      <c r="D918" s="173"/>
      <c r="E918" s="70"/>
      <c r="F918" s="62"/>
      <c r="G918" s="19"/>
      <c r="H918" s="178"/>
      <c r="I918" s="57"/>
      <c r="J918" s="15"/>
      <c r="K918" s="15"/>
      <c r="L918" s="15">
        <f t="shared" si="192"/>
        <v>0</v>
      </c>
      <c r="M918" s="15"/>
      <c r="N918" s="15">
        <f t="shared" si="193"/>
        <v>0</v>
      </c>
      <c r="O918" s="15" t="str">
        <f>IF(AND(A918='BANG KE NL'!$M$11,TH!C918="NL",LEFT(D918,1)="N"),"x","")</f>
        <v/>
      </c>
    </row>
    <row r="919" spans="1:15" hidden="1">
      <c r="A919" s="24" t="str">
        <f t="shared" si="191"/>
        <v/>
      </c>
      <c r="B919" s="176" t="str">
        <f>IF(AND(MONTH(E919)='IN-NX'!$J$5,'IN-NX'!$D$7=(D919&amp;"/"&amp;C919)),"x","")</f>
        <v/>
      </c>
      <c r="C919" s="173"/>
      <c r="D919" s="173"/>
      <c r="E919" s="70"/>
      <c r="F919" s="62"/>
      <c r="G919" s="19"/>
      <c r="H919" s="178"/>
      <c r="I919" s="57"/>
      <c r="J919" s="15"/>
      <c r="K919" s="15"/>
      <c r="L919" s="15">
        <f t="shared" si="192"/>
        <v>0</v>
      </c>
      <c r="M919" s="15"/>
      <c r="N919" s="15">
        <f t="shared" si="193"/>
        <v>0</v>
      </c>
      <c r="O919" s="15" t="str">
        <f>IF(AND(A919='BANG KE NL'!$M$11,TH!C919="NL",LEFT(D919,1)="N"),"x","")</f>
        <v/>
      </c>
    </row>
    <row r="920" spans="1:15" hidden="1">
      <c r="A920" s="24" t="str">
        <f t="shared" si="191"/>
        <v/>
      </c>
      <c r="B920" s="176" t="str">
        <f>IF(AND(MONTH(E920)='IN-NX'!$J$5,'IN-NX'!$D$7=(D920&amp;"/"&amp;C920)),"x","")</f>
        <v/>
      </c>
      <c r="C920" s="173"/>
      <c r="D920" s="173"/>
      <c r="E920" s="70"/>
      <c r="F920" s="62"/>
      <c r="G920" s="19"/>
      <c r="H920" s="178"/>
      <c r="I920" s="57"/>
      <c r="J920" s="15"/>
      <c r="K920" s="15"/>
      <c r="L920" s="15">
        <f t="shared" si="192"/>
        <v>0</v>
      </c>
      <c r="M920" s="15"/>
      <c r="N920" s="15">
        <f t="shared" si="193"/>
        <v>0</v>
      </c>
      <c r="O920" s="15" t="str">
        <f>IF(AND(A920='BANG KE NL'!$M$11,TH!C920="NL",LEFT(D920,1)="N"),"x","")</f>
        <v/>
      </c>
    </row>
    <row r="921" spans="1:15" hidden="1">
      <c r="A921" s="24" t="str">
        <f t="shared" si="191"/>
        <v/>
      </c>
      <c r="B921" s="176" t="str">
        <f>IF(AND(MONTH(E921)='IN-NX'!$J$5,'IN-NX'!$D$7=(D921&amp;"/"&amp;C921)),"x","")</f>
        <v/>
      </c>
      <c r="C921" s="173"/>
      <c r="D921" s="173"/>
      <c r="E921" s="70"/>
      <c r="F921" s="62"/>
      <c r="G921" s="19"/>
      <c r="H921" s="178"/>
      <c r="I921" s="57"/>
      <c r="J921" s="15"/>
      <c r="K921" s="15"/>
      <c r="L921" s="15">
        <f t="shared" si="192"/>
        <v>0</v>
      </c>
      <c r="M921" s="15"/>
      <c r="N921" s="15">
        <f t="shared" si="193"/>
        <v>0</v>
      </c>
      <c r="O921" s="15" t="str">
        <f>IF(AND(A921='BANG KE NL'!$M$11,TH!C921="NL",LEFT(D921,1)="N"),"x","")</f>
        <v/>
      </c>
    </row>
    <row r="922" spans="1:15" hidden="1">
      <c r="A922" s="24" t="str">
        <f t="shared" si="191"/>
        <v/>
      </c>
      <c r="B922" s="176" t="str">
        <f>IF(AND(MONTH(E922)='IN-NX'!$J$5,'IN-NX'!$D$7=(D922&amp;"/"&amp;C922)),"x","")</f>
        <v/>
      </c>
      <c r="C922" s="173"/>
      <c r="D922" s="173"/>
      <c r="E922" s="70"/>
      <c r="F922" s="62"/>
      <c r="G922" s="19"/>
      <c r="H922" s="178"/>
      <c r="I922" s="57"/>
      <c r="J922" s="15"/>
      <c r="K922" s="15"/>
      <c r="L922" s="15">
        <f t="shared" si="192"/>
        <v>0</v>
      </c>
      <c r="M922" s="15"/>
      <c r="N922" s="15">
        <f t="shared" si="193"/>
        <v>0</v>
      </c>
      <c r="O922" s="15" t="str">
        <f>IF(AND(A922='BANG KE NL'!$M$11,TH!C922="NL",LEFT(D922,1)="N"),"x","")</f>
        <v/>
      </c>
    </row>
    <row r="923" spans="1:15" hidden="1">
      <c r="A923" s="24" t="str">
        <f t="shared" si="191"/>
        <v/>
      </c>
      <c r="B923" s="176" t="str">
        <f>IF(AND(MONTH(E923)='IN-NX'!$J$5,'IN-NX'!$D$7=(D923&amp;"/"&amp;C923)),"x","")</f>
        <v/>
      </c>
      <c r="C923" s="173"/>
      <c r="D923" s="173"/>
      <c r="E923" s="70"/>
      <c r="F923" s="62"/>
      <c r="G923" s="19"/>
      <c r="H923" s="178"/>
      <c r="I923" s="57"/>
      <c r="J923" s="15"/>
      <c r="K923" s="15"/>
      <c r="L923" s="15">
        <f t="shared" si="192"/>
        <v>0</v>
      </c>
      <c r="M923" s="15"/>
      <c r="N923" s="15">
        <f t="shared" si="193"/>
        <v>0</v>
      </c>
      <c r="O923" s="15" t="str">
        <f>IF(AND(A923='BANG KE NL'!$M$11,TH!C923="NL",LEFT(D923,1)="N"),"x","")</f>
        <v/>
      </c>
    </row>
    <row r="924" spans="1:15" hidden="1">
      <c r="A924" s="24" t="str">
        <f t="shared" si="191"/>
        <v/>
      </c>
      <c r="B924" s="176" t="str">
        <f>IF(AND(MONTH(E924)='IN-NX'!$J$5,'IN-NX'!$D$7=(D924&amp;"/"&amp;C924)),"x","")</f>
        <v/>
      </c>
      <c r="C924" s="173"/>
      <c r="D924" s="173"/>
      <c r="E924" s="70"/>
      <c r="F924" s="62"/>
      <c r="G924" s="19"/>
      <c r="H924" s="178"/>
      <c r="I924" s="57"/>
      <c r="J924" s="15"/>
      <c r="K924" s="15"/>
      <c r="L924" s="15">
        <f t="shared" si="192"/>
        <v>0</v>
      </c>
      <c r="M924" s="15"/>
      <c r="N924" s="15">
        <f t="shared" si="193"/>
        <v>0</v>
      </c>
      <c r="O924" s="15" t="str">
        <f>IF(AND(A924='BANG KE NL'!$M$11,TH!C924="NL",LEFT(D924,1)="N"),"x","")</f>
        <v/>
      </c>
    </row>
    <row r="925" spans="1:15" hidden="1">
      <c r="A925" s="24" t="str">
        <f t="shared" si="191"/>
        <v/>
      </c>
      <c r="B925" s="176" t="str">
        <f>IF(AND(MONTH(E925)='IN-NX'!$J$5,'IN-NX'!$D$7=(D925&amp;"/"&amp;C925)),"x","")</f>
        <v/>
      </c>
      <c r="C925" s="173"/>
      <c r="D925" s="173"/>
      <c r="E925" s="70"/>
      <c r="F925" s="62"/>
      <c r="G925" s="19"/>
      <c r="H925" s="178"/>
      <c r="I925" s="57"/>
      <c r="J925" s="15"/>
      <c r="K925" s="15"/>
      <c r="L925" s="15">
        <f t="shared" si="192"/>
        <v>0</v>
      </c>
      <c r="M925" s="15"/>
      <c r="N925" s="15">
        <f t="shared" si="193"/>
        <v>0</v>
      </c>
      <c r="O925" s="15" t="str">
        <f>IF(AND(A925='BANG KE NL'!$M$11,TH!C925="NL",LEFT(D925,1)="N"),"x","")</f>
        <v/>
      </c>
    </row>
    <row r="926" spans="1:15" hidden="1">
      <c r="A926" s="24" t="str">
        <f t="shared" si="191"/>
        <v/>
      </c>
      <c r="B926" s="176" t="str">
        <f>IF(AND(MONTH(E926)='IN-NX'!$J$5,'IN-NX'!$D$7=(D926&amp;"/"&amp;C926)),"x","")</f>
        <v/>
      </c>
      <c r="C926" s="173"/>
      <c r="D926" s="173"/>
      <c r="E926" s="70"/>
      <c r="F926" s="62"/>
      <c r="G926" s="19"/>
      <c r="H926" s="178"/>
      <c r="I926" s="57"/>
      <c r="J926" s="15"/>
      <c r="K926" s="15"/>
      <c r="L926" s="15">
        <f t="shared" si="192"/>
        <v>0</v>
      </c>
      <c r="M926" s="15"/>
      <c r="N926" s="15">
        <f t="shared" si="193"/>
        <v>0</v>
      </c>
      <c r="O926" s="15" t="str">
        <f>IF(AND(A926='BANG KE NL'!$M$11,TH!C926="NL",LEFT(D926,1)="N"),"x","")</f>
        <v/>
      </c>
    </row>
    <row r="927" spans="1:15" hidden="1">
      <c r="A927" s="24" t="str">
        <f t="shared" si="191"/>
        <v/>
      </c>
      <c r="B927" s="176" t="str">
        <f>IF(AND(MONTH(E927)='IN-NX'!$J$5,'IN-NX'!$D$7=(D927&amp;"/"&amp;C927)),"x","")</f>
        <v/>
      </c>
      <c r="C927" s="173"/>
      <c r="D927" s="173"/>
      <c r="E927" s="70"/>
      <c r="F927" s="62"/>
      <c r="G927" s="19"/>
      <c r="H927" s="178"/>
      <c r="I927" s="57"/>
      <c r="J927" s="15"/>
      <c r="K927" s="15"/>
      <c r="L927" s="15">
        <f t="shared" si="192"/>
        <v>0</v>
      </c>
      <c r="M927" s="15"/>
      <c r="N927" s="15">
        <f t="shared" si="193"/>
        <v>0</v>
      </c>
      <c r="O927" s="15" t="str">
        <f>IF(AND(A927='BANG KE NL'!$M$11,TH!C927="NL",LEFT(D927,1)="N"),"x","")</f>
        <v/>
      </c>
    </row>
    <row r="928" spans="1:15" hidden="1">
      <c r="A928" s="24" t="str">
        <f t="shared" si="191"/>
        <v/>
      </c>
      <c r="B928" s="176" t="str">
        <f>IF(AND(MONTH(E928)='IN-NX'!$J$5,'IN-NX'!$D$7=(D928&amp;"/"&amp;C928)),"x","")</f>
        <v/>
      </c>
      <c r="C928" s="173"/>
      <c r="D928" s="173"/>
      <c r="E928" s="70"/>
      <c r="F928" s="62"/>
      <c r="G928" s="19"/>
      <c r="H928" s="178"/>
      <c r="I928" s="57"/>
      <c r="J928" s="15"/>
      <c r="K928" s="15"/>
      <c r="L928" s="15">
        <f t="shared" si="192"/>
        <v>0</v>
      </c>
      <c r="M928" s="15"/>
      <c r="N928" s="15">
        <f t="shared" si="193"/>
        <v>0</v>
      </c>
      <c r="O928" s="15" t="str">
        <f>IF(AND(A928='BANG KE NL'!$M$11,TH!C928="NL",LEFT(D928,1)="N"),"x","")</f>
        <v/>
      </c>
    </row>
    <row r="929" spans="1:15" hidden="1">
      <c r="A929" s="24" t="str">
        <f t="shared" si="191"/>
        <v/>
      </c>
      <c r="B929" s="176" t="str">
        <f>IF(AND(MONTH(E929)='IN-NX'!$J$5,'IN-NX'!$D$7=(D929&amp;"/"&amp;C929)),"x","")</f>
        <v/>
      </c>
      <c r="C929" s="173"/>
      <c r="D929" s="173"/>
      <c r="E929" s="70"/>
      <c r="F929" s="62"/>
      <c r="G929" s="19"/>
      <c r="H929" s="178"/>
      <c r="I929" s="57"/>
      <c r="J929" s="15"/>
      <c r="K929" s="15"/>
      <c r="L929" s="15">
        <f t="shared" si="192"/>
        <v>0</v>
      </c>
      <c r="M929" s="15"/>
      <c r="N929" s="15">
        <f t="shared" si="193"/>
        <v>0</v>
      </c>
      <c r="O929" s="15" t="str">
        <f>IF(AND(A929='BANG KE NL'!$M$11,TH!C929="NL",LEFT(D929,1)="N"),"x","")</f>
        <v/>
      </c>
    </row>
    <row r="930" spans="1:15" hidden="1">
      <c r="A930" s="24" t="str">
        <f t="shared" si="191"/>
        <v/>
      </c>
      <c r="B930" s="176" t="str">
        <f>IF(AND(MONTH(E930)='IN-NX'!$J$5,'IN-NX'!$D$7=(D930&amp;"/"&amp;C930)),"x","")</f>
        <v/>
      </c>
      <c r="C930" s="173"/>
      <c r="D930" s="173"/>
      <c r="E930" s="70"/>
      <c r="F930" s="62"/>
      <c r="G930" s="19"/>
      <c r="H930" s="178"/>
      <c r="I930" s="57"/>
      <c r="J930" s="15"/>
      <c r="K930" s="15"/>
      <c r="L930" s="15">
        <f t="shared" si="192"/>
        <v>0</v>
      </c>
      <c r="M930" s="15"/>
      <c r="N930" s="15">
        <f t="shared" si="193"/>
        <v>0</v>
      </c>
      <c r="O930" s="15" t="str">
        <f>IF(AND(A930='BANG KE NL'!$M$11,TH!C930="NL",LEFT(D930,1)="N"),"x","")</f>
        <v/>
      </c>
    </row>
    <row r="931" spans="1:15" hidden="1">
      <c r="A931" s="24" t="str">
        <f t="shared" si="191"/>
        <v/>
      </c>
      <c r="B931" s="176" t="str">
        <f>IF(AND(MONTH(E931)='IN-NX'!$J$5,'IN-NX'!$D$7=(D931&amp;"/"&amp;C931)),"x","")</f>
        <v/>
      </c>
      <c r="C931" s="173"/>
      <c r="D931" s="173"/>
      <c r="E931" s="70"/>
      <c r="F931" s="62"/>
      <c r="G931" s="19"/>
      <c r="H931" s="178"/>
      <c r="I931" s="57"/>
      <c r="J931" s="15"/>
      <c r="K931" s="15"/>
      <c r="L931" s="15">
        <f t="shared" si="192"/>
        <v>0</v>
      </c>
      <c r="M931" s="15"/>
      <c r="N931" s="15">
        <f t="shared" si="193"/>
        <v>0</v>
      </c>
      <c r="O931" s="15" t="str">
        <f>IF(AND(A931='BANG KE NL'!$M$11,TH!C931="NL",LEFT(D931,1)="N"),"x","")</f>
        <v/>
      </c>
    </row>
    <row r="932" spans="1:15" hidden="1">
      <c r="A932" s="24" t="str">
        <f t="shared" si="191"/>
        <v/>
      </c>
      <c r="B932" s="176" t="str">
        <f>IF(AND(MONTH(E932)='IN-NX'!$J$5,'IN-NX'!$D$7=(D932&amp;"/"&amp;C932)),"x","")</f>
        <v/>
      </c>
      <c r="C932" s="173"/>
      <c r="D932" s="173"/>
      <c r="E932" s="70"/>
      <c r="F932" s="62"/>
      <c r="G932" s="19"/>
      <c r="H932" s="178"/>
      <c r="I932" s="57"/>
      <c r="J932" s="15"/>
      <c r="K932" s="15"/>
      <c r="L932" s="15">
        <f t="shared" si="192"/>
        <v>0</v>
      </c>
      <c r="M932" s="15"/>
      <c r="N932" s="15">
        <f t="shared" si="193"/>
        <v>0</v>
      </c>
      <c r="O932" s="15" t="str">
        <f>IF(AND(A932='BANG KE NL'!$M$11,TH!C932="NL",LEFT(D932,1)="N"),"x","")</f>
        <v/>
      </c>
    </row>
    <row r="933" spans="1:15" hidden="1">
      <c r="A933" s="24" t="str">
        <f t="shared" ref="A933:A996" si="194">IF(E933&lt;&gt;"",MONTH(E933),"")</f>
        <v/>
      </c>
      <c r="B933" s="176" t="str">
        <f>IF(AND(MONTH(E933)='IN-NX'!$J$5,'IN-NX'!$D$7=(D933&amp;"/"&amp;C933)),"x","")</f>
        <v/>
      </c>
      <c r="C933" s="173"/>
      <c r="D933" s="173"/>
      <c r="E933" s="70"/>
      <c r="F933" s="62"/>
      <c r="G933" s="19"/>
      <c r="H933" s="178"/>
      <c r="I933" s="57"/>
      <c r="J933" s="15"/>
      <c r="K933" s="15"/>
      <c r="L933" s="15">
        <f t="shared" si="192"/>
        <v>0</v>
      </c>
      <c r="M933" s="15"/>
      <c r="N933" s="15">
        <f t="shared" si="193"/>
        <v>0</v>
      </c>
      <c r="O933" s="15" t="str">
        <f>IF(AND(A933='BANG KE NL'!$M$11,TH!C933="NL",LEFT(D933,1)="N"),"x","")</f>
        <v/>
      </c>
    </row>
    <row r="934" spans="1:15" hidden="1">
      <c r="A934" s="24" t="str">
        <f t="shared" si="194"/>
        <v/>
      </c>
      <c r="B934" s="176" t="str">
        <f>IF(AND(MONTH(E934)='IN-NX'!$J$5,'IN-NX'!$D$7=(D934&amp;"/"&amp;C934)),"x","")</f>
        <v/>
      </c>
      <c r="C934" s="173"/>
      <c r="D934" s="173"/>
      <c r="E934" s="70"/>
      <c r="F934" s="62"/>
      <c r="G934" s="19"/>
      <c r="H934" s="178"/>
      <c r="I934" s="57"/>
      <c r="J934" s="15"/>
      <c r="K934" s="15"/>
      <c r="L934" s="15">
        <f t="shared" si="192"/>
        <v>0</v>
      </c>
      <c r="M934" s="15"/>
      <c r="N934" s="15">
        <f t="shared" si="193"/>
        <v>0</v>
      </c>
      <c r="O934" s="15" t="str">
        <f>IF(AND(A934='BANG KE NL'!$M$11,TH!C934="NL",LEFT(D934,1)="N"),"x","")</f>
        <v/>
      </c>
    </row>
    <row r="935" spans="1:15" hidden="1">
      <c r="A935" s="24" t="str">
        <f t="shared" si="194"/>
        <v/>
      </c>
      <c r="B935" s="176" t="str">
        <f>IF(AND(MONTH(E935)='IN-NX'!$J$5,'IN-NX'!$D$7=(D935&amp;"/"&amp;C935)),"x","")</f>
        <v/>
      </c>
      <c r="C935" s="173"/>
      <c r="D935" s="173"/>
      <c r="E935" s="70"/>
      <c r="F935" s="62"/>
      <c r="G935" s="19"/>
      <c r="H935" s="178"/>
      <c r="I935" s="57"/>
      <c r="J935" s="15"/>
      <c r="K935" s="15"/>
      <c r="L935" s="15">
        <f t="shared" si="192"/>
        <v>0</v>
      </c>
      <c r="M935" s="15"/>
      <c r="N935" s="15">
        <f t="shared" si="193"/>
        <v>0</v>
      </c>
      <c r="O935" s="15" t="str">
        <f>IF(AND(A935='BANG KE NL'!$M$11,TH!C935="NL",LEFT(D935,1)="N"),"x","")</f>
        <v/>
      </c>
    </row>
    <row r="936" spans="1:15" hidden="1">
      <c r="A936" s="24" t="str">
        <f t="shared" si="194"/>
        <v/>
      </c>
      <c r="B936" s="176" t="str">
        <f>IF(AND(MONTH(E936)='IN-NX'!$J$5,'IN-NX'!$D$7=(D936&amp;"/"&amp;C936)),"x","")</f>
        <v/>
      </c>
      <c r="C936" s="173"/>
      <c r="D936" s="173"/>
      <c r="E936" s="70"/>
      <c r="F936" s="62"/>
      <c r="G936" s="19"/>
      <c r="H936" s="178"/>
      <c r="I936" s="57"/>
      <c r="J936" s="15"/>
      <c r="K936" s="15"/>
      <c r="L936" s="15">
        <f t="shared" si="192"/>
        <v>0</v>
      </c>
      <c r="M936" s="15"/>
      <c r="N936" s="15">
        <f t="shared" si="193"/>
        <v>0</v>
      </c>
      <c r="O936" s="15" t="str">
        <f>IF(AND(A936='BANG KE NL'!$M$11,TH!C936="NL",LEFT(D936,1)="N"),"x","")</f>
        <v/>
      </c>
    </row>
    <row r="937" spans="1:15" hidden="1">
      <c r="A937" s="24" t="str">
        <f t="shared" si="194"/>
        <v/>
      </c>
      <c r="B937" s="176" t="str">
        <f>IF(AND(MONTH(E937)='IN-NX'!$J$5,'IN-NX'!$D$7=(D937&amp;"/"&amp;C937)),"x","")</f>
        <v/>
      </c>
      <c r="C937" s="173"/>
      <c r="D937" s="173"/>
      <c r="E937" s="70"/>
      <c r="F937" s="62"/>
      <c r="G937" s="19"/>
      <c r="H937" s="178"/>
      <c r="I937" s="57"/>
      <c r="J937" s="15"/>
      <c r="K937" s="15"/>
      <c r="L937" s="15">
        <f t="shared" si="192"/>
        <v>0</v>
      </c>
      <c r="M937" s="15"/>
      <c r="N937" s="15">
        <f t="shared" si="193"/>
        <v>0</v>
      </c>
      <c r="O937" s="15" t="str">
        <f>IF(AND(A937='BANG KE NL'!$M$11,TH!C937="NL",LEFT(D937,1)="N"),"x","")</f>
        <v/>
      </c>
    </row>
    <row r="938" spans="1:15" hidden="1">
      <c r="A938" s="24" t="str">
        <f t="shared" si="194"/>
        <v/>
      </c>
      <c r="B938" s="176" t="str">
        <f>IF(AND(MONTH(E938)='IN-NX'!$J$5,'IN-NX'!$D$7=(D938&amp;"/"&amp;C938)),"x","")</f>
        <v/>
      </c>
      <c r="C938" s="173"/>
      <c r="D938" s="173"/>
      <c r="E938" s="70"/>
      <c r="F938" s="62"/>
      <c r="G938" s="19"/>
      <c r="H938" s="178"/>
      <c r="I938" s="57"/>
      <c r="J938" s="15"/>
      <c r="K938" s="15"/>
      <c r="L938" s="15">
        <f t="shared" si="192"/>
        <v>0</v>
      </c>
      <c r="M938" s="15"/>
      <c r="N938" s="15">
        <f t="shared" si="193"/>
        <v>0</v>
      </c>
      <c r="O938" s="15" t="str">
        <f>IF(AND(A938='BANG KE NL'!$M$11,TH!C938="NL",LEFT(D938,1)="N"),"x","")</f>
        <v/>
      </c>
    </row>
    <row r="939" spans="1:15" hidden="1">
      <c r="A939" s="24" t="str">
        <f t="shared" si="194"/>
        <v/>
      </c>
      <c r="B939" s="176" t="str">
        <f>IF(AND(MONTH(E939)='IN-NX'!$J$5,'IN-NX'!$D$7=(D939&amp;"/"&amp;C939)),"x","")</f>
        <v/>
      </c>
      <c r="C939" s="173"/>
      <c r="D939" s="173"/>
      <c r="E939" s="70"/>
      <c r="F939" s="62"/>
      <c r="G939" s="19"/>
      <c r="H939" s="178"/>
      <c r="I939" s="57"/>
      <c r="J939" s="15"/>
      <c r="K939" s="15"/>
      <c r="L939" s="15">
        <f t="shared" si="192"/>
        <v>0</v>
      </c>
      <c r="M939" s="15"/>
      <c r="N939" s="15">
        <f t="shared" si="193"/>
        <v>0</v>
      </c>
      <c r="O939" s="15" t="str">
        <f>IF(AND(A939='BANG KE NL'!$M$11,TH!C939="NL",LEFT(D939,1)="N"),"x","")</f>
        <v/>
      </c>
    </row>
    <row r="940" spans="1:15" hidden="1">
      <c r="A940" s="24" t="str">
        <f t="shared" si="194"/>
        <v/>
      </c>
      <c r="B940" s="176" t="str">
        <f>IF(AND(MONTH(E940)='IN-NX'!$J$5,'IN-NX'!$D$7=(D940&amp;"/"&amp;C940)),"x","")</f>
        <v/>
      </c>
      <c r="C940" s="173"/>
      <c r="D940" s="173"/>
      <c r="E940" s="70"/>
      <c r="F940" s="62"/>
      <c r="G940" s="19"/>
      <c r="H940" s="178"/>
      <c r="I940" s="57"/>
      <c r="J940" s="15"/>
      <c r="K940" s="15"/>
      <c r="L940" s="15">
        <f t="shared" si="192"/>
        <v>0</v>
      </c>
      <c r="M940" s="15"/>
      <c r="N940" s="15">
        <f t="shared" si="193"/>
        <v>0</v>
      </c>
      <c r="O940" s="15" t="str">
        <f>IF(AND(A940='BANG KE NL'!$M$11,TH!C940="NL",LEFT(D940,1)="N"),"x","")</f>
        <v/>
      </c>
    </row>
    <row r="941" spans="1:15" hidden="1">
      <c r="A941" s="24" t="str">
        <f t="shared" si="194"/>
        <v/>
      </c>
      <c r="B941" s="176" t="str">
        <f>IF(AND(MONTH(E941)='IN-NX'!$J$5,'IN-NX'!$D$7=(D941&amp;"/"&amp;C941)),"x","")</f>
        <v/>
      </c>
      <c r="C941" s="173"/>
      <c r="D941" s="173"/>
      <c r="E941" s="70"/>
      <c r="F941" s="62"/>
      <c r="G941" s="19"/>
      <c r="H941" s="178"/>
      <c r="I941" s="57"/>
      <c r="J941" s="15"/>
      <c r="K941" s="15"/>
      <c r="L941" s="15">
        <f t="shared" ref="L941:L1004" si="195">ROUND(J941*K941,0)</f>
        <v>0</v>
      </c>
      <c r="M941" s="15"/>
      <c r="N941" s="15">
        <f t="shared" ref="N941:N1004" si="196">ROUND(J941*M941,0)</f>
        <v>0</v>
      </c>
      <c r="O941" s="15" t="str">
        <f>IF(AND(A941='BANG KE NL'!$M$11,TH!C941="NL",LEFT(D941,1)="N"),"x","")</f>
        <v/>
      </c>
    </row>
    <row r="942" spans="1:15" hidden="1">
      <c r="A942" s="24" t="str">
        <f t="shared" si="194"/>
        <v/>
      </c>
      <c r="B942" s="176" t="str">
        <f>IF(AND(MONTH(E942)='IN-NX'!$J$5,'IN-NX'!$D$7=(D942&amp;"/"&amp;C942)),"x","")</f>
        <v/>
      </c>
      <c r="C942" s="173"/>
      <c r="D942" s="173"/>
      <c r="E942" s="70"/>
      <c r="F942" s="62"/>
      <c r="G942" s="19"/>
      <c r="H942" s="178"/>
      <c r="I942" s="57"/>
      <c r="J942" s="15"/>
      <c r="K942" s="15"/>
      <c r="L942" s="15">
        <f t="shared" si="195"/>
        <v>0</v>
      </c>
      <c r="M942" s="15"/>
      <c r="N942" s="15">
        <f t="shared" si="196"/>
        <v>0</v>
      </c>
      <c r="O942" s="15" t="str">
        <f>IF(AND(A942='BANG KE NL'!$M$11,TH!C942="NL",LEFT(D942,1)="N"),"x","")</f>
        <v/>
      </c>
    </row>
    <row r="943" spans="1:15" hidden="1">
      <c r="A943" s="24" t="str">
        <f t="shared" si="194"/>
        <v/>
      </c>
      <c r="B943" s="176" t="str">
        <f>IF(AND(MONTH(E943)='IN-NX'!$J$5,'IN-NX'!$D$7=(D943&amp;"/"&amp;C943)),"x","")</f>
        <v/>
      </c>
      <c r="C943" s="173"/>
      <c r="D943" s="173"/>
      <c r="E943" s="70"/>
      <c r="F943" s="62"/>
      <c r="G943" s="19"/>
      <c r="H943" s="178"/>
      <c r="I943" s="57"/>
      <c r="J943" s="15"/>
      <c r="K943" s="15"/>
      <c r="L943" s="15">
        <f t="shared" si="195"/>
        <v>0</v>
      </c>
      <c r="M943" s="15"/>
      <c r="N943" s="15">
        <f t="shared" si="196"/>
        <v>0</v>
      </c>
      <c r="O943" s="15" t="str">
        <f>IF(AND(A943='BANG KE NL'!$M$11,TH!C943="NL",LEFT(D943,1)="N"),"x","")</f>
        <v/>
      </c>
    </row>
    <row r="944" spans="1:15" hidden="1">
      <c r="A944" s="24" t="str">
        <f t="shared" si="194"/>
        <v/>
      </c>
      <c r="B944" s="176" t="str">
        <f>IF(AND(MONTH(E944)='IN-NX'!$J$5,'IN-NX'!$D$7=(D944&amp;"/"&amp;C944)),"x","")</f>
        <v/>
      </c>
      <c r="C944" s="173"/>
      <c r="D944" s="173"/>
      <c r="E944" s="70"/>
      <c r="F944" s="62"/>
      <c r="G944" s="19"/>
      <c r="H944" s="178"/>
      <c r="I944" s="57"/>
      <c r="J944" s="15"/>
      <c r="K944" s="15"/>
      <c r="L944" s="15">
        <f t="shared" si="195"/>
        <v>0</v>
      </c>
      <c r="M944" s="15"/>
      <c r="N944" s="15">
        <f t="shared" si="196"/>
        <v>0</v>
      </c>
      <c r="O944" s="15" t="str">
        <f>IF(AND(A944='BANG KE NL'!$M$11,TH!C944="NL",LEFT(D944,1)="N"),"x","")</f>
        <v/>
      </c>
    </row>
    <row r="945" spans="1:15" hidden="1">
      <c r="A945" s="24" t="str">
        <f t="shared" si="194"/>
        <v/>
      </c>
      <c r="B945" s="176" t="str">
        <f>IF(AND(MONTH(E945)='IN-NX'!$J$5,'IN-NX'!$D$7=(D945&amp;"/"&amp;C945)),"x","")</f>
        <v/>
      </c>
      <c r="C945" s="173"/>
      <c r="D945" s="173"/>
      <c r="E945" s="70"/>
      <c r="F945" s="62"/>
      <c r="G945" s="19"/>
      <c r="H945" s="178"/>
      <c r="I945" s="57"/>
      <c r="J945" s="15"/>
      <c r="K945" s="15"/>
      <c r="L945" s="15">
        <f t="shared" si="195"/>
        <v>0</v>
      </c>
      <c r="M945" s="15"/>
      <c r="N945" s="15">
        <f t="shared" si="196"/>
        <v>0</v>
      </c>
      <c r="O945" s="15" t="str">
        <f>IF(AND(A945='BANG KE NL'!$M$11,TH!C945="NL",LEFT(D945,1)="N"),"x","")</f>
        <v/>
      </c>
    </row>
    <row r="946" spans="1:15" hidden="1">
      <c r="A946" s="24" t="str">
        <f t="shared" si="194"/>
        <v/>
      </c>
      <c r="B946" s="176" t="str">
        <f>IF(AND(MONTH(E946)='IN-NX'!$J$5,'IN-NX'!$D$7=(D946&amp;"/"&amp;C946)),"x","")</f>
        <v/>
      </c>
      <c r="C946" s="173"/>
      <c r="D946" s="173"/>
      <c r="E946" s="70"/>
      <c r="F946" s="62"/>
      <c r="G946" s="19"/>
      <c r="H946" s="178"/>
      <c r="I946" s="57"/>
      <c r="J946" s="15"/>
      <c r="K946" s="15"/>
      <c r="L946" s="15">
        <f t="shared" si="195"/>
        <v>0</v>
      </c>
      <c r="M946" s="15"/>
      <c r="N946" s="15">
        <f t="shared" si="196"/>
        <v>0</v>
      </c>
      <c r="O946" s="15" t="str">
        <f>IF(AND(A946='BANG KE NL'!$M$11,TH!C946="NL",LEFT(D946,1)="N"),"x","")</f>
        <v/>
      </c>
    </row>
    <row r="947" spans="1:15" hidden="1">
      <c r="A947" s="24" t="str">
        <f t="shared" si="194"/>
        <v/>
      </c>
      <c r="B947" s="176" t="str">
        <f>IF(AND(MONTH(E947)='IN-NX'!$J$5,'IN-NX'!$D$7=(D947&amp;"/"&amp;C947)),"x","")</f>
        <v/>
      </c>
      <c r="C947" s="173"/>
      <c r="D947" s="173"/>
      <c r="E947" s="70"/>
      <c r="F947" s="62"/>
      <c r="G947" s="19"/>
      <c r="H947" s="178"/>
      <c r="I947" s="57"/>
      <c r="J947" s="15"/>
      <c r="K947" s="15"/>
      <c r="L947" s="15">
        <f t="shared" si="195"/>
        <v>0</v>
      </c>
      <c r="M947" s="15"/>
      <c r="N947" s="15">
        <f t="shared" si="196"/>
        <v>0</v>
      </c>
      <c r="O947" s="15" t="str">
        <f>IF(AND(A947='BANG KE NL'!$M$11,TH!C947="NL",LEFT(D947,1)="N"),"x","")</f>
        <v/>
      </c>
    </row>
    <row r="948" spans="1:15" hidden="1">
      <c r="A948" s="24" t="str">
        <f t="shared" si="194"/>
        <v/>
      </c>
      <c r="B948" s="176" t="str">
        <f>IF(AND(MONTH(E948)='IN-NX'!$J$5,'IN-NX'!$D$7=(D948&amp;"/"&amp;C948)),"x","")</f>
        <v/>
      </c>
      <c r="C948" s="173"/>
      <c r="D948" s="173"/>
      <c r="E948" s="70"/>
      <c r="F948" s="62"/>
      <c r="G948" s="19"/>
      <c r="H948" s="178"/>
      <c r="I948" s="57"/>
      <c r="J948" s="15"/>
      <c r="K948" s="15"/>
      <c r="L948" s="15">
        <f t="shared" si="195"/>
        <v>0</v>
      </c>
      <c r="M948" s="15"/>
      <c r="N948" s="15">
        <f t="shared" si="196"/>
        <v>0</v>
      </c>
      <c r="O948" s="15" t="str">
        <f>IF(AND(A948='BANG KE NL'!$M$11,TH!C948="NL",LEFT(D948,1)="N"),"x","")</f>
        <v/>
      </c>
    </row>
    <row r="949" spans="1:15" hidden="1">
      <c r="A949" s="24" t="str">
        <f t="shared" si="194"/>
        <v/>
      </c>
      <c r="B949" s="176" t="str">
        <f>IF(AND(MONTH(E949)='IN-NX'!$J$5,'IN-NX'!$D$7=(D949&amp;"/"&amp;C949)),"x","")</f>
        <v/>
      </c>
      <c r="C949" s="173"/>
      <c r="D949" s="173"/>
      <c r="E949" s="70"/>
      <c r="F949" s="62"/>
      <c r="G949" s="19"/>
      <c r="H949" s="178"/>
      <c r="I949" s="57"/>
      <c r="J949" s="15"/>
      <c r="K949" s="15"/>
      <c r="L949" s="15">
        <f t="shared" si="195"/>
        <v>0</v>
      </c>
      <c r="M949" s="15"/>
      <c r="N949" s="15">
        <f t="shared" si="196"/>
        <v>0</v>
      </c>
      <c r="O949" s="15" t="str">
        <f>IF(AND(A949='BANG KE NL'!$M$11,TH!C949="NL",LEFT(D949,1)="N"),"x","")</f>
        <v/>
      </c>
    </row>
    <row r="950" spans="1:15" hidden="1">
      <c r="A950" s="24" t="str">
        <f t="shared" si="194"/>
        <v/>
      </c>
      <c r="B950" s="176" t="str">
        <f>IF(AND(MONTH(E950)='IN-NX'!$J$5,'IN-NX'!$D$7=(D950&amp;"/"&amp;C950)),"x","")</f>
        <v/>
      </c>
      <c r="C950" s="173"/>
      <c r="D950" s="173"/>
      <c r="E950" s="70"/>
      <c r="F950" s="62"/>
      <c r="G950" s="19"/>
      <c r="H950" s="178"/>
      <c r="I950" s="57"/>
      <c r="J950" s="15"/>
      <c r="K950" s="15"/>
      <c r="L950" s="15">
        <f t="shared" si="195"/>
        <v>0</v>
      </c>
      <c r="M950" s="15"/>
      <c r="N950" s="15">
        <f t="shared" si="196"/>
        <v>0</v>
      </c>
      <c r="O950" s="15" t="str">
        <f>IF(AND(A950='BANG KE NL'!$M$11,TH!C950="NL",LEFT(D950,1)="N"),"x","")</f>
        <v/>
      </c>
    </row>
    <row r="951" spans="1:15" hidden="1">
      <c r="A951" s="24" t="str">
        <f t="shared" si="194"/>
        <v/>
      </c>
      <c r="B951" s="176" t="str">
        <f>IF(AND(MONTH(E951)='IN-NX'!$J$5,'IN-NX'!$D$7=(D951&amp;"/"&amp;C951)),"x","")</f>
        <v/>
      </c>
      <c r="C951" s="173"/>
      <c r="D951" s="173"/>
      <c r="E951" s="70"/>
      <c r="F951" s="62"/>
      <c r="G951" s="19"/>
      <c r="H951" s="178"/>
      <c r="I951" s="57"/>
      <c r="J951" s="15"/>
      <c r="K951" s="15"/>
      <c r="L951" s="15">
        <f t="shared" si="195"/>
        <v>0</v>
      </c>
      <c r="M951" s="15"/>
      <c r="N951" s="15">
        <f t="shared" si="196"/>
        <v>0</v>
      </c>
      <c r="O951" s="15" t="str">
        <f>IF(AND(A951='BANG KE NL'!$M$11,TH!C951="NL",LEFT(D951,1)="N"),"x","")</f>
        <v/>
      </c>
    </row>
    <row r="952" spans="1:15" hidden="1">
      <c r="A952" s="24" t="str">
        <f t="shared" si="194"/>
        <v/>
      </c>
      <c r="B952" s="176" t="str">
        <f>IF(AND(MONTH(E952)='IN-NX'!$J$5,'IN-NX'!$D$7=(D952&amp;"/"&amp;C952)),"x","")</f>
        <v/>
      </c>
      <c r="C952" s="173"/>
      <c r="D952" s="173"/>
      <c r="E952" s="70"/>
      <c r="F952" s="62"/>
      <c r="G952" s="19"/>
      <c r="H952" s="178"/>
      <c r="I952" s="57"/>
      <c r="J952" s="15"/>
      <c r="K952" s="15"/>
      <c r="L952" s="15">
        <f t="shared" si="195"/>
        <v>0</v>
      </c>
      <c r="M952" s="15"/>
      <c r="N952" s="15">
        <f t="shared" si="196"/>
        <v>0</v>
      </c>
      <c r="O952" s="15" t="str">
        <f>IF(AND(A952='BANG KE NL'!$M$11,TH!C952="NL",LEFT(D952,1)="N"),"x","")</f>
        <v/>
      </c>
    </row>
    <row r="953" spans="1:15" hidden="1">
      <c r="A953" s="24" t="str">
        <f t="shared" si="194"/>
        <v/>
      </c>
      <c r="B953" s="176" t="str">
        <f>IF(AND(MONTH(E953)='IN-NX'!$J$5,'IN-NX'!$D$7=(D953&amp;"/"&amp;C953)),"x","")</f>
        <v/>
      </c>
      <c r="C953" s="173"/>
      <c r="D953" s="173"/>
      <c r="E953" s="70"/>
      <c r="F953" s="62"/>
      <c r="G953" s="19"/>
      <c r="H953" s="178"/>
      <c r="I953" s="57"/>
      <c r="J953" s="15"/>
      <c r="K953" s="15"/>
      <c r="L953" s="15">
        <f t="shared" si="195"/>
        <v>0</v>
      </c>
      <c r="M953" s="15"/>
      <c r="N953" s="15">
        <f t="shared" si="196"/>
        <v>0</v>
      </c>
      <c r="O953" s="15" t="str">
        <f>IF(AND(A953='BANG KE NL'!$M$11,TH!C953="NL",LEFT(D953,1)="N"),"x","")</f>
        <v/>
      </c>
    </row>
    <row r="954" spans="1:15" hidden="1">
      <c r="A954" s="24" t="str">
        <f t="shared" si="194"/>
        <v/>
      </c>
      <c r="B954" s="176" t="str">
        <f>IF(AND(MONTH(E954)='IN-NX'!$J$5,'IN-NX'!$D$7=(D954&amp;"/"&amp;C954)),"x","")</f>
        <v/>
      </c>
      <c r="C954" s="173"/>
      <c r="D954" s="173"/>
      <c r="E954" s="70"/>
      <c r="F954" s="62"/>
      <c r="G954" s="19"/>
      <c r="H954" s="178"/>
      <c r="I954" s="57"/>
      <c r="J954" s="15"/>
      <c r="K954" s="15"/>
      <c r="L954" s="15">
        <f t="shared" si="195"/>
        <v>0</v>
      </c>
      <c r="M954" s="15"/>
      <c r="N954" s="15">
        <f t="shared" si="196"/>
        <v>0</v>
      </c>
      <c r="O954" s="15" t="str">
        <f>IF(AND(A954='BANG KE NL'!$M$11,TH!C954="NL",LEFT(D954,1)="N"),"x","")</f>
        <v/>
      </c>
    </row>
    <row r="955" spans="1:15" hidden="1">
      <c r="A955" s="24" t="str">
        <f t="shared" si="194"/>
        <v/>
      </c>
      <c r="B955" s="176" t="str">
        <f>IF(AND(MONTH(E955)='IN-NX'!$J$5,'IN-NX'!$D$7=(D955&amp;"/"&amp;C955)),"x","")</f>
        <v/>
      </c>
      <c r="C955" s="173"/>
      <c r="D955" s="173"/>
      <c r="E955" s="70"/>
      <c r="F955" s="62"/>
      <c r="G955" s="19"/>
      <c r="H955" s="178"/>
      <c r="I955" s="57"/>
      <c r="J955" s="15"/>
      <c r="K955" s="15"/>
      <c r="L955" s="15">
        <f t="shared" si="195"/>
        <v>0</v>
      </c>
      <c r="M955" s="15"/>
      <c r="N955" s="15">
        <f t="shared" si="196"/>
        <v>0</v>
      </c>
      <c r="O955" s="15" t="str">
        <f>IF(AND(A955='BANG KE NL'!$M$11,TH!C955="NL",LEFT(D955,1)="N"),"x","")</f>
        <v/>
      </c>
    </row>
    <row r="956" spans="1:15" hidden="1">
      <c r="A956" s="24" t="str">
        <f t="shared" si="194"/>
        <v/>
      </c>
      <c r="B956" s="176" t="str">
        <f>IF(AND(MONTH(E956)='IN-NX'!$J$5,'IN-NX'!$D$7=(D956&amp;"/"&amp;C956)),"x","")</f>
        <v/>
      </c>
      <c r="C956" s="173"/>
      <c r="D956" s="173"/>
      <c r="E956" s="70"/>
      <c r="F956" s="62"/>
      <c r="G956" s="19"/>
      <c r="H956" s="178"/>
      <c r="I956" s="57"/>
      <c r="J956" s="15"/>
      <c r="K956" s="15"/>
      <c r="L956" s="15">
        <f t="shared" si="195"/>
        <v>0</v>
      </c>
      <c r="M956" s="15"/>
      <c r="N956" s="15">
        <f t="shared" si="196"/>
        <v>0</v>
      </c>
      <c r="O956" s="15" t="str">
        <f>IF(AND(A956='BANG KE NL'!$M$11,TH!C956="NL",LEFT(D956,1)="N"),"x","")</f>
        <v/>
      </c>
    </row>
    <row r="957" spans="1:15" hidden="1">
      <c r="A957" s="24" t="str">
        <f t="shared" si="194"/>
        <v/>
      </c>
      <c r="B957" s="176" t="str">
        <f>IF(AND(MONTH(E957)='IN-NX'!$J$5,'IN-NX'!$D$7=(D957&amp;"/"&amp;C957)),"x","")</f>
        <v/>
      </c>
      <c r="C957" s="173"/>
      <c r="D957" s="173"/>
      <c r="E957" s="70"/>
      <c r="F957" s="62"/>
      <c r="G957" s="19"/>
      <c r="H957" s="178"/>
      <c r="I957" s="57"/>
      <c r="J957" s="15"/>
      <c r="K957" s="15"/>
      <c r="L957" s="15">
        <f t="shared" si="195"/>
        <v>0</v>
      </c>
      <c r="M957" s="15"/>
      <c r="N957" s="15">
        <f t="shared" si="196"/>
        <v>0</v>
      </c>
      <c r="O957" s="15" t="str">
        <f>IF(AND(A957='BANG KE NL'!$M$11,TH!C957="NL",LEFT(D957,1)="N"),"x","")</f>
        <v/>
      </c>
    </row>
    <row r="958" spans="1:15" hidden="1">
      <c r="A958" s="24" t="str">
        <f t="shared" si="194"/>
        <v/>
      </c>
      <c r="B958" s="176" t="str">
        <f>IF(AND(MONTH(E958)='IN-NX'!$J$5,'IN-NX'!$D$7=(D958&amp;"/"&amp;C958)),"x","")</f>
        <v/>
      </c>
      <c r="C958" s="173"/>
      <c r="D958" s="173"/>
      <c r="E958" s="70"/>
      <c r="F958" s="62"/>
      <c r="G958" s="19"/>
      <c r="H958" s="178"/>
      <c r="I958" s="57"/>
      <c r="J958" s="15"/>
      <c r="K958" s="15"/>
      <c r="L958" s="15">
        <f t="shared" si="195"/>
        <v>0</v>
      </c>
      <c r="M958" s="15"/>
      <c r="N958" s="15">
        <f t="shared" si="196"/>
        <v>0</v>
      </c>
      <c r="O958" s="15" t="str">
        <f>IF(AND(A958='BANG KE NL'!$M$11,TH!C958="NL",LEFT(D958,1)="N"),"x","")</f>
        <v/>
      </c>
    </row>
    <row r="959" spans="1:15" hidden="1">
      <c r="A959" s="24" t="str">
        <f t="shared" si="194"/>
        <v/>
      </c>
      <c r="B959" s="176" t="str">
        <f>IF(AND(MONTH(E959)='IN-NX'!$J$5,'IN-NX'!$D$7=(D959&amp;"/"&amp;C959)),"x","")</f>
        <v/>
      </c>
      <c r="C959" s="173"/>
      <c r="D959" s="173"/>
      <c r="E959" s="70"/>
      <c r="F959" s="62"/>
      <c r="G959" s="19"/>
      <c r="H959" s="178"/>
      <c r="I959" s="57"/>
      <c r="J959" s="15"/>
      <c r="K959" s="15"/>
      <c r="L959" s="15">
        <f t="shared" si="195"/>
        <v>0</v>
      </c>
      <c r="M959" s="15"/>
      <c r="N959" s="15">
        <f t="shared" si="196"/>
        <v>0</v>
      </c>
      <c r="O959" s="15" t="str">
        <f>IF(AND(A959='BANG KE NL'!$M$11,TH!C959="NL",LEFT(D959,1)="N"),"x","")</f>
        <v/>
      </c>
    </row>
    <row r="960" spans="1:15" hidden="1">
      <c r="A960" s="24" t="str">
        <f t="shared" si="194"/>
        <v/>
      </c>
      <c r="B960" s="176" t="str">
        <f>IF(AND(MONTH(E960)='IN-NX'!$J$5,'IN-NX'!$D$7=(D960&amp;"/"&amp;C960)),"x","")</f>
        <v/>
      </c>
      <c r="C960" s="173"/>
      <c r="D960" s="173"/>
      <c r="E960" s="70"/>
      <c r="F960" s="62"/>
      <c r="G960" s="19"/>
      <c r="H960" s="178"/>
      <c r="I960" s="57"/>
      <c r="J960" s="15"/>
      <c r="K960" s="15"/>
      <c r="L960" s="15">
        <f t="shared" si="195"/>
        <v>0</v>
      </c>
      <c r="M960" s="15"/>
      <c r="N960" s="15">
        <f t="shared" si="196"/>
        <v>0</v>
      </c>
      <c r="O960" s="15" t="str">
        <f>IF(AND(A960='BANG KE NL'!$M$11,TH!C960="NL",LEFT(D960,1)="N"),"x","")</f>
        <v/>
      </c>
    </row>
    <row r="961" spans="1:15" hidden="1">
      <c r="A961" s="24" t="str">
        <f t="shared" si="194"/>
        <v/>
      </c>
      <c r="B961" s="176" t="str">
        <f>IF(AND(MONTH(E961)='IN-NX'!$J$5,'IN-NX'!$D$7=(D961&amp;"/"&amp;C961)),"x","")</f>
        <v/>
      </c>
      <c r="C961" s="173"/>
      <c r="D961" s="173"/>
      <c r="E961" s="70"/>
      <c r="F961" s="62"/>
      <c r="G961" s="19"/>
      <c r="H961" s="178"/>
      <c r="I961" s="57"/>
      <c r="J961" s="15"/>
      <c r="K961" s="15"/>
      <c r="L961" s="15">
        <f t="shared" si="195"/>
        <v>0</v>
      </c>
      <c r="M961" s="15"/>
      <c r="N961" s="15">
        <f t="shared" si="196"/>
        <v>0</v>
      </c>
      <c r="O961" s="15" t="str">
        <f>IF(AND(A961='BANG KE NL'!$M$11,TH!C961="NL",LEFT(D961,1)="N"),"x","")</f>
        <v/>
      </c>
    </row>
    <row r="962" spans="1:15" hidden="1">
      <c r="A962" s="24" t="str">
        <f t="shared" si="194"/>
        <v/>
      </c>
      <c r="B962" s="176" t="str">
        <f>IF(AND(MONTH(E962)='IN-NX'!$J$5,'IN-NX'!$D$7=(D962&amp;"/"&amp;C962)),"x","")</f>
        <v/>
      </c>
      <c r="C962" s="173"/>
      <c r="D962" s="173"/>
      <c r="E962" s="70"/>
      <c r="F962" s="62"/>
      <c r="G962" s="19"/>
      <c r="H962" s="178"/>
      <c r="I962" s="57"/>
      <c r="J962" s="15"/>
      <c r="K962" s="15"/>
      <c r="L962" s="15">
        <f t="shared" si="195"/>
        <v>0</v>
      </c>
      <c r="M962" s="15"/>
      <c r="N962" s="15">
        <f t="shared" si="196"/>
        <v>0</v>
      </c>
      <c r="O962" s="15" t="str">
        <f>IF(AND(A962='BANG KE NL'!$M$11,TH!C962="NL",LEFT(D962,1)="N"),"x","")</f>
        <v/>
      </c>
    </row>
    <row r="963" spans="1:15" hidden="1">
      <c r="A963" s="24" t="str">
        <f t="shared" si="194"/>
        <v/>
      </c>
      <c r="B963" s="176" t="str">
        <f>IF(AND(MONTH(E963)='IN-NX'!$J$5,'IN-NX'!$D$7=(D963&amp;"/"&amp;C963)),"x","")</f>
        <v/>
      </c>
      <c r="C963" s="173"/>
      <c r="D963" s="173"/>
      <c r="E963" s="70"/>
      <c r="F963" s="62"/>
      <c r="G963" s="19"/>
      <c r="H963" s="178"/>
      <c r="I963" s="57"/>
      <c r="J963" s="15"/>
      <c r="K963" s="15"/>
      <c r="L963" s="15">
        <f t="shared" si="195"/>
        <v>0</v>
      </c>
      <c r="M963" s="15"/>
      <c r="N963" s="15">
        <f t="shared" si="196"/>
        <v>0</v>
      </c>
      <c r="O963" s="15" t="str">
        <f>IF(AND(A963='BANG KE NL'!$M$11,TH!C963="NL",LEFT(D963,1)="N"),"x","")</f>
        <v/>
      </c>
    </row>
    <row r="964" spans="1:15" hidden="1">
      <c r="A964" s="24" t="str">
        <f t="shared" si="194"/>
        <v/>
      </c>
      <c r="B964" s="176" t="str">
        <f>IF(AND(MONTH(E964)='IN-NX'!$J$5,'IN-NX'!$D$7=(D964&amp;"/"&amp;C964)),"x","")</f>
        <v/>
      </c>
      <c r="C964" s="173"/>
      <c r="D964" s="173"/>
      <c r="E964" s="70"/>
      <c r="F964" s="62"/>
      <c r="G964" s="19"/>
      <c r="H964" s="178"/>
      <c r="I964" s="57"/>
      <c r="J964" s="15"/>
      <c r="K964" s="15"/>
      <c r="L964" s="15">
        <f t="shared" si="195"/>
        <v>0</v>
      </c>
      <c r="M964" s="15"/>
      <c r="N964" s="15">
        <f t="shared" si="196"/>
        <v>0</v>
      </c>
      <c r="O964" s="15" t="str">
        <f>IF(AND(A964='BANG KE NL'!$M$11,TH!C964="NL",LEFT(D964,1)="N"),"x","")</f>
        <v/>
      </c>
    </row>
    <row r="965" spans="1:15" hidden="1">
      <c r="A965" s="24" t="str">
        <f t="shared" si="194"/>
        <v/>
      </c>
      <c r="B965" s="176" t="str">
        <f>IF(AND(MONTH(E965)='IN-NX'!$J$5,'IN-NX'!$D$7=(D965&amp;"/"&amp;C965)),"x","")</f>
        <v/>
      </c>
      <c r="C965" s="173"/>
      <c r="D965" s="173"/>
      <c r="E965" s="70"/>
      <c r="F965" s="62"/>
      <c r="G965" s="19"/>
      <c r="H965" s="178"/>
      <c r="I965" s="57"/>
      <c r="J965" s="15"/>
      <c r="K965" s="15"/>
      <c r="L965" s="15">
        <f t="shared" si="195"/>
        <v>0</v>
      </c>
      <c r="M965" s="15"/>
      <c r="N965" s="15">
        <f t="shared" si="196"/>
        <v>0</v>
      </c>
      <c r="O965" s="15" t="str">
        <f>IF(AND(A965='BANG KE NL'!$M$11,TH!C965="NL",LEFT(D965,1)="N"),"x","")</f>
        <v/>
      </c>
    </row>
    <row r="966" spans="1:15" hidden="1">
      <c r="A966" s="24" t="str">
        <f t="shared" si="194"/>
        <v/>
      </c>
      <c r="B966" s="176" t="str">
        <f>IF(AND(MONTH(E966)='IN-NX'!$J$5,'IN-NX'!$D$7=(D966&amp;"/"&amp;C966)),"x","")</f>
        <v/>
      </c>
      <c r="C966" s="173"/>
      <c r="D966" s="173"/>
      <c r="E966" s="70"/>
      <c r="F966" s="62"/>
      <c r="G966" s="19"/>
      <c r="H966" s="178"/>
      <c r="I966" s="57"/>
      <c r="J966" s="15"/>
      <c r="K966" s="15"/>
      <c r="L966" s="15">
        <f t="shared" si="195"/>
        <v>0</v>
      </c>
      <c r="M966" s="15"/>
      <c r="N966" s="15">
        <f t="shared" si="196"/>
        <v>0</v>
      </c>
      <c r="O966" s="15" t="str">
        <f>IF(AND(A966='BANG KE NL'!$M$11,TH!C966="NL",LEFT(D966,1)="N"),"x","")</f>
        <v/>
      </c>
    </row>
    <row r="967" spans="1:15" hidden="1">
      <c r="A967" s="24" t="str">
        <f t="shared" si="194"/>
        <v/>
      </c>
      <c r="B967" s="176" t="str">
        <f>IF(AND(MONTH(E967)='IN-NX'!$J$5,'IN-NX'!$D$7=(D967&amp;"/"&amp;C967)),"x","")</f>
        <v/>
      </c>
      <c r="C967" s="173"/>
      <c r="D967" s="173"/>
      <c r="E967" s="70"/>
      <c r="F967" s="62"/>
      <c r="G967" s="19"/>
      <c r="H967" s="178"/>
      <c r="I967" s="57"/>
      <c r="J967" s="15"/>
      <c r="K967" s="15"/>
      <c r="L967" s="15">
        <f t="shared" si="195"/>
        <v>0</v>
      </c>
      <c r="M967" s="15"/>
      <c r="N967" s="15">
        <f t="shared" si="196"/>
        <v>0</v>
      </c>
      <c r="O967" s="15" t="str">
        <f>IF(AND(A967='BANG KE NL'!$M$11,TH!C967="NL",LEFT(D967,1)="N"),"x","")</f>
        <v/>
      </c>
    </row>
    <row r="968" spans="1:15" hidden="1">
      <c r="A968" s="24" t="str">
        <f t="shared" si="194"/>
        <v/>
      </c>
      <c r="B968" s="176" t="str">
        <f>IF(AND(MONTH(E968)='IN-NX'!$J$5,'IN-NX'!$D$7=(D968&amp;"/"&amp;C968)),"x","")</f>
        <v/>
      </c>
      <c r="C968" s="173"/>
      <c r="D968" s="173"/>
      <c r="E968" s="70"/>
      <c r="F968" s="62"/>
      <c r="G968" s="19"/>
      <c r="H968" s="178"/>
      <c r="I968" s="57"/>
      <c r="J968" s="15"/>
      <c r="K968" s="15"/>
      <c r="L968" s="15">
        <f t="shared" si="195"/>
        <v>0</v>
      </c>
      <c r="M968" s="15"/>
      <c r="N968" s="15">
        <f t="shared" si="196"/>
        <v>0</v>
      </c>
      <c r="O968" s="15" t="str">
        <f>IF(AND(A968='BANG KE NL'!$M$11,TH!C968="NL",LEFT(D968,1)="N"),"x","")</f>
        <v/>
      </c>
    </row>
    <row r="969" spans="1:15" hidden="1">
      <c r="A969" s="24" t="str">
        <f t="shared" si="194"/>
        <v/>
      </c>
      <c r="B969" s="176" t="str">
        <f>IF(AND(MONTH(E969)='IN-NX'!$J$5,'IN-NX'!$D$7=(D969&amp;"/"&amp;C969)),"x","")</f>
        <v/>
      </c>
      <c r="C969" s="173"/>
      <c r="D969" s="173"/>
      <c r="E969" s="70"/>
      <c r="F969" s="62"/>
      <c r="G969" s="19"/>
      <c r="H969" s="178"/>
      <c r="I969" s="57"/>
      <c r="J969" s="15"/>
      <c r="K969" s="15"/>
      <c r="L969" s="15">
        <f t="shared" si="195"/>
        <v>0</v>
      </c>
      <c r="M969" s="15"/>
      <c r="N969" s="15">
        <f t="shared" si="196"/>
        <v>0</v>
      </c>
      <c r="O969" s="15" t="str">
        <f>IF(AND(A969='BANG KE NL'!$M$11,TH!C969="NL",LEFT(D969,1)="N"),"x","")</f>
        <v/>
      </c>
    </row>
    <row r="970" spans="1:15" hidden="1">
      <c r="A970" s="24" t="str">
        <f t="shared" si="194"/>
        <v/>
      </c>
      <c r="B970" s="176" t="str">
        <f>IF(AND(MONTH(E970)='IN-NX'!$J$5,'IN-NX'!$D$7=(D970&amp;"/"&amp;C970)),"x","")</f>
        <v/>
      </c>
      <c r="C970" s="173"/>
      <c r="D970" s="173"/>
      <c r="E970" s="70"/>
      <c r="F970" s="62"/>
      <c r="G970" s="19"/>
      <c r="H970" s="178"/>
      <c r="I970" s="57"/>
      <c r="J970" s="15"/>
      <c r="K970" s="15"/>
      <c r="L970" s="15">
        <f t="shared" si="195"/>
        <v>0</v>
      </c>
      <c r="M970" s="15"/>
      <c r="N970" s="15">
        <f t="shared" si="196"/>
        <v>0</v>
      </c>
      <c r="O970" s="15" t="str">
        <f>IF(AND(A970='BANG KE NL'!$M$11,TH!C970="NL",LEFT(D970,1)="N"),"x","")</f>
        <v/>
      </c>
    </row>
    <row r="971" spans="1:15" hidden="1">
      <c r="A971" s="24" t="str">
        <f t="shared" si="194"/>
        <v/>
      </c>
      <c r="B971" s="176" t="str">
        <f>IF(AND(MONTH(E971)='IN-NX'!$J$5,'IN-NX'!$D$7=(D971&amp;"/"&amp;C971)),"x","")</f>
        <v/>
      </c>
      <c r="C971" s="173"/>
      <c r="D971" s="173"/>
      <c r="E971" s="70"/>
      <c r="F971" s="62"/>
      <c r="G971" s="19"/>
      <c r="H971" s="178"/>
      <c r="I971" s="57"/>
      <c r="J971" s="15"/>
      <c r="K971" s="15"/>
      <c r="L971" s="15">
        <f t="shared" si="195"/>
        <v>0</v>
      </c>
      <c r="M971" s="15"/>
      <c r="N971" s="15">
        <f t="shared" si="196"/>
        <v>0</v>
      </c>
      <c r="O971" s="15" t="str">
        <f>IF(AND(A971='BANG KE NL'!$M$11,TH!C971="NL",LEFT(D971,1)="N"),"x","")</f>
        <v/>
      </c>
    </row>
    <row r="972" spans="1:15" hidden="1">
      <c r="A972" s="24" t="str">
        <f t="shared" si="194"/>
        <v/>
      </c>
      <c r="B972" s="176" t="str">
        <f>IF(AND(MONTH(E972)='IN-NX'!$J$5,'IN-NX'!$D$7=(D972&amp;"/"&amp;C972)),"x","")</f>
        <v/>
      </c>
      <c r="C972" s="173"/>
      <c r="D972" s="173"/>
      <c r="E972" s="70"/>
      <c r="F972" s="62"/>
      <c r="G972" s="19"/>
      <c r="H972" s="178"/>
      <c r="I972" s="57"/>
      <c r="J972" s="15"/>
      <c r="K972" s="15"/>
      <c r="L972" s="15">
        <f t="shared" si="195"/>
        <v>0</v>
      </c>
      <c r="M972" s="15"/>
      <c r="N972" s="15">
        <f t="shared" si="196"/>
        <v>0</v>
      </c>
      <c r="O972" s="15" t="str">
        <f>IF(AND(A972='BANG KE NL'!$M$11,TH!C972="NL",LEFT(D972,1)="N"),"x","")</f>
        <v/>
      </c>
    </row>
    <row r="973" spans="1:15" hidden="1">
      <c r="A973" s="24" t="str">
        <f t="shared" si="194"/>
        <v/>
      </c>
      <c r="B973" s="176" t="str">
        <f>IF(AND(MONTH(E973)='IN-NX'!$J$5,'IN-NX'!$D$7=(D973&amp;"/"&amp;C973)),"x","")</f>
        <v/>
      </c>
      <c r="C973" s="173"/>
      <c r="D973" s="173"/>
      <c r="E973" s="70"/>
      <c r="F973" s="62"/>
      <c r="G973" s="19"/>
      <c r="H973" s="178"/>
      <c r="I973" s="57"/>
      <c r="J973" s="15"/>
      <c r="K973" s="15"/>
      <c r="L973" s="15">
        <f t="shared" si="195"/>
        <v>0</v>
      </c>
      <c r="M973" s="15"/>
      <c r="N973" s="15">
        <f t="shared" si="196"/>
        <v>0</v>
      </c>
      <c r="O973" s="15" t="str">
        <f>IF(AND(A973='BANG KE NL'!$M$11,TH!C973="NL",LEFT(D973,1)="N"),"x","")</f>
        <v/>
      </c>
    </row>
    <row r="974" spans="1:15" hidden="1">
      <c r="A974" s="24" t="str">
        <f t="shared" si="194"/>
        <v/>
      </c>
      <c r="B974" s="176" t="str">
        <f>IF(AND(MONTH(E974)='IN-NX'!$J$5,'IN-NX'!$D$7=(D974&amp;"/"&amp;C974)),"x","")</f>
        <v/>
      </c>
      <c r="C974" s="173"/>
      <c r="D974" s="173"/>
      <c r="E974" s="70"/>
      <c r="F974" s="62"/>
      <c r="G974" s="19"/>
      <c r="H974" s="178"/>
      <c r="I974" s="57"/>
      <c r="J974" s="15"/>
      <c r="K974" s="15"/>
      <c r="L974" s="15">
        <f t="shared" si="195"/>
        <v>0</v>
      </c>
      <c r="M974" s="15"/>
      <c r="N974" s="15">
        <f t="shared" si="196"/>
        <v>0</v>
      </c>
      <c r="O974" s="15" t="str">
        <f>IF(AND(A974='BANG KE NL'!$M$11,TH!C974="NL",LEFT(D974,1)="N"),"x","")</f>
        <v/>
      </c>
    </row>
    <row r="975" spans="1:15" hidden="1">
      <c r="A975" s="24" t="str">
        <f t="shared" si="194"/>
        <v/>
      </c>
      <c r="B975" s="176" t="str">
        <f>IF(AND(MONTH(E975)='IN-NX'!$J$5,'IN-NX'!$D$7=(D975&amp;"/"&amp;C975)),"x","")</f>
        <v/>
      </c>
      <c r="C975" s="173"/>
      <c r="D975" s="173"/>
      <c r="E975" s="70"/>
      <c r="F975" s="62"/>
      <c r="G975" s="19"/>
      <c r="H975" s="178"/>
      <c r="I975" s="57"/>
      <c r="J975" s="15"/>
      <c r="K975" s="15"/>
      <c r="L975" s="15">
        <f t="shared" si="195"/>
        <v>0</v>
      </c>
      <c r="M975" s="15"/>
      <c r="N975" s="15">
        <f t="shared" si="196"/>
        <v>0</v>
      </c>
      <c r="O975" s="15" t="str">
        <f>IF(AND(A975='BANG KE NL'!$M$11,TH!C975="NL",LEFT(D975,1)="N"),"x","")</f>
        <v/>
      </c>
    </row>
    <row r="976" spans="1:15" hidden="1">
      <c r="A976" s="24" t="str">
        <f t="shared" si="194"/>
        <v/>
      </c>
      <c r="B976" s="176" t="str">
        <f>IF(AND(MONTH(E976)='IN-NX'!$J$5,'IN-NX'!$D$7=(D976&amp;"/"&amp;C976)),"x","")</f>
        <v/>
      </c>
      <c r="C976" s="173"/>
      <c r="D976" s="173"/>
      <c r="E976" s="70"/>
      <c r="F976" s="62"/>
      <c r="G976" s="19"/>
      <c r="H976" s="178"/>
      <c r="I976" s="57"/>
      <c r="J976" s="15"/>
      <c r="K976" s="15"/>
      <c r="L976" s="15">
        <f t="shared" si="195"/>
        <v>0</v>
      </c>
      <c r="M976" s="15"/>
      <c r="N976" s="15">
        <f t="shared" si="196"/>
        <v>0</v>
      </c>
      <c r="O976" s="15" t="str">
        <f>IF(AND(A976='BANG KE NL'!$M$11,TH!C976="NL",LEFT(D976,1)="N"),"x","")</f>
        <v/>
      </c>
    </row>
    <row r="977" spans="1:15" hidden="1">
      <c r="A977" s="24" t="str">
        <f t="shared" si="194"/>
        <v/>
      </c>
      <c r="B977" s="176" t="str">
        <f>IF(AND(MONTH(E977)='IN-NX'!$J$5,'IN-NX'!$D$7=(D977&amp;"/"&amp;C977)),"x","")</f>
        <v/>
      </c>
      <c r="C977" s="173"/>
      <c r="D977" s="173"/>
      <c r="E977" s="70"/>
      <c r="F977" s="62"/>
      <c r="G977" s="19"/>
      <c r="H977" s="178"/>
      <c r="I977" s="57"/>
      <c r="J977" s="15"/>
      <c r="K977" s="15"/>
      <c r="L977" s="15">
        <f t="shared" si="195"/>
        <v>0</v>
      </c>
      <c r="M977" s="15"/>
      <c r="N977" s="15">
        <f t="shared" si="196"/>
        <v>0</v>
      </c>
      <c r="O977" s="15" t="str">
        <f>IF(AND(A977='BANG KE NL'!$M$11,TH!C977="NL",LEFT(D977,1)="N"),"x","")</f>
        <v/>
      </c>
    </row>
    <row r="978" spans="1:15" hidden="1">
      <c r="A978" s="24" t="str">
        <f t="shared" si="194"/>
        <v/>
      </c>
      <c r="B978" s="176" t="str">
        <f>IF(AND(MONTH(E978)='IN-NX'!$J$5,'IN-NX'!$D$7=(D978&amp;"/"&amp;C978)),"x","")</f>
        <v/>
      </c>
      <c r="C978" s="173"/>
      <c r="D978" s="173"/>
      <c r="E978" s="70"/>
      <c r="F978" s="62"/>
      <c r="G978" s="19"/>
      <c r="H978" s="178"/>
      <c r="I978" s="57"/>
      <c r="J978" s="15"/>
      <c r="K978" s="15"/>
      <c r="L978" s="15">
        <f t="shared" si="195"/>
        <v>0</v>
      </c>
      <c r="M978" s="15"/>
      <c r="N978" s="15">
        <f t="shared" si="196"/>
        <v>0</v>
      </c>
      <c r="O978" s="15" t="str">
        <f>IF(AND(A978='BANG KE NL'!$M$11,TH!C978="NL",LEFT(D978,1)="N"),"x","")</f>
        <v/>
      </c>
    </row>
    <row r="979" spans="1:15" hidden="1">
      <c r="A979" s="24" t="str">
        <f t="shared" si="194"/>
        <v/>
      </c>
      <c r="B979" s="176" t="str">
        <f>IF(AND(MONTH(E979)='IN-NX'!$J$5,'IN-NX'!$D$7=(D979&amp;"/"&amp;C979)),"x","")</f>
        <v/>
      </c>
      <c r="C979" s="173"/>
      <c r="D979" s="173"/>
      <c r="E979" s="70"/>
      <c r="F979" s="62"/>
      <c r="G979" s="19"/>
      <c r="H979" s="178"/>
      <c r="I979" s="57"/>
      <c r="J979" s="15"/>
      <c r="K979" s="15"/>
      <c r="L979" s="15">
        <f t="shared" si="195"/>
        <v>0</v>
      </c>
      <c r="M979" s="15"/>
      <c r="N979" s="15">
        <f t="shared" si="196"/>
        <v>0</v>
      </c>
      <c r="O979" s="15" t="str">
        <f>IF(AND(A979='BANG KE NL'!$M$11,TH!C979="NL",LEFT(D979,1)="N"),"x","")</f>
        <v/>
      </c>
    </row>
    <row r="980" spans="1:15" hidden="1">
      <c r="A980" s="24" t="str">
        <f t="shared" si="194"/>
        <v/>
      </c>
      <c r="B980" s="176" t="str">
        <f>IF(AND(MONTH(E980)='IN-NX'!$J$5,'IN-NX'!$D$7=(D980&amp;"/"&amp;C980)),"x","")</f>
        <v/>
      </c>
      <c r="C980" s="173"/>
      <c r="D980" s="173"/>
      <c r="E980" s="70"/>
      <c r="F980" s="62"/>
      <c r="G980" s="19"/>
      <c r="H980" s="178"/>
      <c r="I980" s="57"/>
      <c r="J980" s="15"/>
      <c r="K980" s="15"/>
      <c r="L980" s="15">
        <f t="shared" si="195"/>
        <v>0</v>
      </c>
      <c r="M980" s="15"/>
      <c r="N980" s="15">
        <f t="shared" si="196"/>
        <v>0</v>
      </c>
      <c r="O980" s="15" t="str">
        <f>IF(AND(A980='BANG KE NL'!$M$11,TH!C980="NL",LEFT(D980,1)="N"),"x","")</f>
        <v/>
      </c>
    </row>
    <row r="981" spans="1:15" hidden="1">
      <c r="A981" s="24" t="str">
        <f t="shared" si="194"/>
        <v/>
      </c>
      <c r="B981" s="176" t="str">
        <f>IF(AND(MONTH(E981)='IN-NX'!$J$5,'IN-NX'!$D$7=(D981&amp;"/"&amp;C981)),"x","")</f>
        <v/>
      </c>
      <c r="C981" s="173"/>
      <c r="D981" s="173"/>
      <c r="E981" s="70"/>
      <c r="F981" s="62"/>
      <c r="G981" s="19"/>
      <c r="H981" s="178"/>
      <c r="I981" s="57"/>
      <c r="J981" s="15"/>
      <c r="K981" s="15"/>
      <c r="L981" s="15">
        <f t="shared" si="195"/>
        <v>0</v>
      </c>
      <c r="M981" s="15"/>
      <c r="N981" s="15">
        <f t="shared" si="196"/>
        <v>0</v>
      </c>
      <c r="O981" s="15" t="str">
        <f>IF(AND(A981='BANG KE NL'!$M$11,TH!C981="NL",LEFT(D981,1)="N"),"x","")</f>
        <v/>
      </c>
    </row>
    <row r="982" spans="1:15" hidden="1">
      <c r="A982" s="24" t="str">
        <f t="shared" si="194"/>
        <v/>
      </c>
      <c r="B982" s="176" t="str">
        <f>IF(AND(MONTH(E982)='IN-NX'!$J$5,'IN-NX'!$D$7=(D982&amp;"/"&amp;C982)),"x","")</f>
        <v/>
      </c>
      <c r="C982" s="173"/>
      <c r="D982" s="173"/>
      <c r="E982" s="70"/>
      <c r="F982" s="62"/>
      <c r="G982" s="19"/>
      <c r="H982" s="178"/>
      <c r="I982" s="57"/>
      <c r="J982" s="15"/>
      <c r="K982" s="15"/>
      <c r="L982" s="15">
        <f t="shared" si="195"/>
        <v>0</v>
      </c>
      <c r="M982" s="15"/>
      <c r="N982" s="15">
        <f t="shared" si="196"/>
        <v>0</v>
      </c>
      <c r="O982" s="15" t="str">
        <f>IF(AND(A982='BANG KE NL'!$M$11,TH!C982="NL",LEFT(D982,1)="N"),"x","")</f>
        <v/>
      </c>
    </row>
    <row r="983" spans="1:15" hidden="1">
      <c r="A983" s="24" t="str">
        <f t="shared" si="194"/>
        <v/>
      </c>
      <c r="B983" s="176" t="str">
        <f>IF(AND(MONTH(E983)='IN-NX'!$J$5,'IN-NX'!$D$7=(D983&amp;"/"&amp;C983)),"x","")</f>
        <v/>
      </c>
      <c r="C983" s="173"/>
      <c r="D983" s="173"/>
      <c r="E983" s="70"/>
      <c r="F983" s="62"/>
      <c r="G983" s="19"/>
      <c r="H983" s="178"/>
      <c r="I983" s="57"/>
      <c r="J983" s="15"/>
      <c r="K983" s="15"/>
      <c r="L983" s="15">
        <f t="shared" si="195"/>
        <v>0</v>
      </c>
      <c r="M983" s="15"/>
      <c r="N983" s="15">
        <f t="shared" si="196"/>
        <v>0</v>
      </c>
      <c r="O983" s="15" t="str">
        <f>IF(AND(A983='BANG KE NL'!$M$11,TH!C983="NL",LEFT(D983,1)="N"),"x","")</f>
        <v/>
      </c>
    </row>
    <row r="984" spans="1:15" hidden="1">
      <c r="A984" s="24" t="str">
        <f t="shared" si="194"/>
        <v/>
      </c>
      <c r="B984" s="176" t="str">
        <f>IF(AND(MONTH(E984)='IN-NX'!$J$5,'IN-NX'!$D$7=(D984&amp;"/"&amp;C984)),"x","")</f>
        <v/>
      </c>
      <c r="C984" s="173"/>
      <c r="D984" s="173"/>
      <c r="E984" s="70"/>
      <c r="F984" s="62"/>
      <c r="G984" s="19"/>
      <c r="H984" s="178"/>
      <c r="I984" s="57"/>
      <c r="J984" s="15"/>
      <c r="K984" s="15"/>
      <c r="L984" s="15">
        <f t="shared" si="195"/>
        <v>0</v>
      </c>
      <c r="M984" s="15"/>
      <c r="N984" s="15">
        <f t="shared" si="196"/>
        <v>0</v>
      </c>
      <c r="O984" s="15" t="str">
        <f>IF(AND(A984='BANG KE NL'!$M$11,TH!C984="NL",LEFT(D984,1)="N"),"x","")</f>
        <v/>
      </c>
    </row>
    <row r="985" spans="1:15" hidden="1">
      <c r="A985" s="24" t="str">
        <f t="shared" si="194"/>
        <v/>
      </c>
      <c r="B985" s="176" t="str">
        <f>IF(AND(MONTH(E985)='IN-NX'!$J$5,'IN-NX'!$D$7=(D985&amp;"/"&amp;C985)),"x","")</f>
        <v/>
      </c>
      <c r="C985" s="173"/>
      <c r="D985" s="173"/>
      <c r="E985" s="70"/>
      <c r="F985" s="62"/>
      <c r="G985" s="19"/>
      <c r="H985" s="178"/>
      <c r="I985" s="57"/>
      <c r="J985" s="15"/>
      <c r="K985" s="15"/>
      <c r="L985" s="15">
        <f t="shared" si="195"/>
        <v>0</v>
      </c>
      <c r="M985" s="15"/>
      <c r="N985" s="15">
        <f t="shared" si="196"/>
        <v>0</v>
      </c>
      <c r="O985" s="15" t="str">
        <f>IF(AND(A985='BANG KE NL'!$M$11,TH!C985="NL",LEFT(D985,1)="N"),"x","")</f>
        <v/>
      </c>
    </row>
    <row r="986" spans="1:15" hidden="1">
      <c r="A986" s="24" t="str">
        <f t="shared" si="194"/>
        <v/>
      </c>
      <c r="B986" s="176" t="str">
        <f>IF(AND(MONTH(E986)='IN-NX'!$J$5,'IN-NX'!$D$7=(D986&amp;"/"&amp;C986)),"x","")</f>
        <v/>
      </c>
      <c r="C986" s="173"/>
      <c r="D986" s="173"/>
      <c r="E986" s="70"/>
      <c r="F986" s="62"/>
      <c r="G986" s="19"/>
      <c r="H986" s="178"/>
      <c r="I986" s="57"/>
      <c r="J986" s="15"/>
      <c r="K986" s="15"/>
      <c r="L986" s="15">
        <f t="shared" si="195"/>
        <v>0</v>
      </c>
      <c r="M986" s="15"/>
      <c r="N986" s="15">
        <f t="shared" si="196"/>
        <v>0</v>
      </c>
      <c r="O986" s="15" t="str">
        <f>IF(AND(A986='BANG KE NL'!$M$11,TH!C986="NL",LEFT(D986,1)="N"),"x","")</f>
        <v/>
      </c>
    </row>
    <row r="987" spans="1:15" hidden="1">
      <c r="A987" s="24" t="str">
        <f t="shared" si="194"/>
        <v/>
      </c>
      <c r="B987" s="176" t="str">
        <f>IF(AND(MONTH(E987)='IN-NX'!$J$5,'IN-NX'!$D$7=(D987&amp;"/"&amp;C987)),"x","")</f>
        <v/>
      </c>
      <c r="C987" s="173"/>
      <c r="D987" s="173"/>
      <c r="E987" s="70"/>
      <c r="F987" s="62"/>
      <c r="G987" s="19"/>
      <c r="H987" s="178"/>
      <c r="I987" s="57"/>
      <c r="J987" s="15"/>
      <c r="K987" s="15"/>
      <c r="L987" s="15">
        <f t="shared" si="195"/>
        <v>0</v>
      </c>
      <c r="M987" s="15"/>
      <c r="N987" s="15">
        <f t="shared" si="196"/>
        <v>0</v>
      </c>
      <c r="O987" s="15" t="str">
        <f>IF(AND(A987='BANG KE NL'!$M$11,TH!C987="NL",LEFT(D987,1)="N"),"x","")</f>
        <v/>
      </c>
    </row>
    <row r="988" spans="1:15" hidden="1">
      <c r="A988" s="24" t="str">
        <f t="shared" si="194"/>
        <v/>
      </c>
      <c r="B988" s="176" t="str">
        <f>IF(AND(MONTH(E988)='IN-NX'!$J$5,'IN-NX'!$D$7=(D988&amp;"/"&amp;C988)),"x","")</f>
        <v/>
      </c>
      <c r="C988" s="173"/>
      <c r="D988" s="173"/>
      <c r="E988" s="70"/>
      <c r="F988" s="62"/>
      <c r="G988" s="19"/>
      <c r="H988" s="178"/>
      <c r="I988" s="57"/>
      <c r="J988" s="15"/>
      <c r="K988" s="15"/>
      <c r="L988" s="15">
        <f t="shared" si="195"/>
        <v>0</v>
      </c>
      <c r="M988" s="15"/>
      <c r="N988" s="15">
        <f t="shared" si="196"/>
        <v>0</v>
      </c>
      <c r="O988" s="15" t="str">
        <f>IF(AND(A988='BANG KE NL'!$M$11,TH!C988="NL",LEFT(D988,1)="N"),"x","")</f>
        <v/>
      </c>
    </row>
    <row r="989" spans="1:15" hidden="1">
      <c r="A989" s="24" t="str">
        <f t="shared" si="194"/>
        <v/>
      </c>
      <c r="B989" s="176" t="str">
        <f>IF(AND(MONTH(E989)='IN-NX'!$J$5,'IN-NX'!$D$7=(D989&amp;"/"&amp;C989)),"x","")</f>
        <v/>
      </c>
      <c r="C989" s="173"/>
      <c r="D989" s="173"/>
      <c r="E989" s="70"/>
      <c r="F989" s="62"/>
      <c r="G989" s="19"/>
      <c r="H989" s="178"/>
      <c r="I989" s="57"/>
      <c r="J989" s="15"/>
      <c r="K989" s="15"/>
      <c r="L989" s="15">
        <f t="shared" si="195"/>
        <v>0</v>
      </c>
      <c r="M989" s="15"/>
      <c r="N989" s="15">
        <f t="shared" si="196"/>
        <v>0</v>
      </c>
      <c r="O989" s="15" t="str">
        <f>IF(AND(A989='BANG KE NL'!$M$11,TH!C989="NL",LEFT(D989,1)="N"),"x","")</f>
        <v/>
      </c>
    </row>
    <row r="990" spans="1:15" hidden="1">
      <c r="A990" s="24" t="str">
        <f t="shared" si="194"/>
        <v/>
      </c>
      <c r="B990" s="176" t="str">
        <f>IF(AND(MONTH(E990)='IN-NX'!$J$5,'IN-NX'!$D$7=(D990&amp;"/"&amp;C990)),"x","")</f>
        <v/>
      </c>
      <c r="C990" s="173"/>
      <c r="D990" s="173"/>
      <c r="E990" s="70"/>
      <c r="F990" s="62"/>
      <c r="G990" s="19"/>
      <c r="H990" s="178"/>
      <c r="I990" s="57"/>
      <c r="J990" s="15"/>
      <c r="K990" s="15"/>
      <c r="L990" s="15">
        <f t="shared" si="195"/>
        <v>0</v>
      </c>
      <c r="M990" s="15"/>
      <c r="N990" s="15">
        <f t="shared" si="196"/>
        <v>0</v>
      </c>
      <c r="O990" s="15" t="str">
        <f>IF(AND(A990='BANG KE NL'!$M$11,TH!C990="NL",LEFT(D990,1)="N"),"x","")</f>
        <v/>
      </c>
    </row>
    <row r="991" spans="1:15" hidden="1">
      <c r="A991" s="24" t="str">
        <f t="shared" si="194"/>
        <v/>
      </c>
      <c r="B991" s="176" t="str">
        <f>IF(AND(MONTH(E991)='IN-NX'!$J$5,'IN-NX'!$D$7=(D991&amp;"/"&amp;C991)),"x","")</f>
        <v/>
      </c>
      <c r="C991" s="173"/>
      <c r="D991" s="173"/>
      <c r="E991" s="70"/>
      <c r="F991" s="62"/>
      <c r="G991" s="19"/>
      <c r="H991" s="178"/>
      <c r="I991" s="57"/>
      <c r="J991" s="15"/>
      <c r="K991" s="15"/>
      <c r="L991" s="15">
        <f t="shared" si="195"/>
        <v>0</v>
      </c>
      <c r="M991" s="15"/>
      <c r="N991" s="15">
        <f t="shared" si="196"/>
        <v>0</v>
      </c>
      <c r="O991" s="15" t="str">
        <f>IF(AND(A991='BANG KE NL'!$M$11,TH!C991="NL",LEFT(D991,1)="N"),"x","")</f>
        <v/>
      </c>
    </row>
    <row r="992" spans="1:15" hidden="1">
      <c r="A992" s="24" t="str">
        <f t="shared" si="194"/>
        <v/>
      </c>
      <c r="B992" s="176" t="str">
        <f>IF(AND(MONTH(E992)='IN-NX'!$J$5,'IN-NX'!$D$7=(D992&amp;"/"&amp;C992)),"x","")</f>
        <v/>
      </c>
      <c r="C992" s="173"/>
      <c r="D992" s="173"/>
      <c r="E992" s="70"/>
      <c r="F992" s="62"/>
      <c r="G992" s="19"/>
      <c r="H992" s="178"/>
      <c r="I992" s="57"/>
      <c r="J992" s="15"/>
      <c r="K992" s="15"/>
      <c r="L992" s="15">
        <f t="shared" si="195"/>
        <v>0</v>
      </c>
      <c r="M992" s="15"/>
      <c r="N992" s="15">
        <f t="shared" si="196"/>
        <v>0</v>
      </c>
      <c r="O992" s="15" t="str">
        <f>IF(AND(A992='BANG KE NL'!$M$11,TH!C992="NL",LEFT(D992,1)="N"),"x","")</f>
        <v/>
      </c>
    </row>
    <row r="993" spans="1:15" hidden="1">
      <c r="A993" s="24" t="str">
        <f t="shared" si="194"/>
        <v/>
      </c>
      <c r="B993" s="176" t="str">
        <f>IF(AND(MONTH(E993)='IN-NX'!$J$5,'IN-NX'!$D$7=(D993&amp;"/"&amp;C993)),"x","")</f>
        <v/>
      </c>
      <c r="C993" s="173"/>
      <c r="D993" s="173"/>
      <c r="E993" s="70"/>
      <c r="F993" s="62"/>
      <c r="G993" s="19"/>
      <c r="H993" s="178"/>
      <c r="I993" s="57"/>
      <c r="J993" s="15"/>
      <c r="K993" s="15"/>
      <c r="L993" s="15">
        <f t="shared" si="195"/>
        <v>0</v>
      </c>
      <c r="M993" s="15"/>
      <c r="N993" s="15">
        <f t="shared" si="196"/>
        <v>0</v>
      </c>
      <c r="O993" s="15" t="str">
        <f>IF(AND(A993='BANG KE NL'!$M$11,TH!C993="NL",LEFT(D993,1)="N"),"x","")</f>
        <v/>
      </c>
    </row>
    <row r="994" spans="1:15" hidden="1">
      <c r="A994" s="24" t="str">
        <f t="shared" si="194"/>
        <v/>
      </c>
      <c r="B994" s="176" t="str">
        <f>IF(AND(MONTH(E994)='IN-NX'!$J$5,'IN-NX'!$D$7=(D994&amp;"/"&amp;C994)),"x","")</f>
        <v/>
      </c>
      <c r="C994" s="173"/>
      <c r="D994" s="173"/>
      <c r="E994" s="70"/>
      <c r="F994" s="62"/>
      <c r="G994" s="19"/>
      <c r="H994" s="178"/>
      <c r="I994" s="57"/>
      <c r="J994" s="15"/>
      <c r="K994" s="15"/>
      <c r="L994" s="15">
        <f t="shared" si="195"/>
        <v>0</v>
      </c>
      <c r="M994" s="15"/>
      <c r="N994" s="15">
        <f t="shared" si="196"/>
        <v>0</v>
      </c>
      <c r="O994" s="15" t="str">
        <f>IF(AND(A994='BANG KE NL'!$M$11,TH!C994="NL",LEFT(D994,1)="N"),"x","")</f>
        <v/>
      </c>
    </row>
    <row r="995" spans="1:15" hidden="1">
      <c r="A995" s="24" t="str">
        <f t="shared" si="194"/>
        <v/>
      </c>
      <c r="B995" s="176" t="str">
        <f>IF(AND(MONTH(E995)='IN-NX'!$J$5,'IN-NX'!$D$7=(D995&amp;"/"&amp;C995)),"x","")</f>
        <v/>
      </c>
      <c r="C995" s="173"/>
      <c r="D995" s="173"/>
      <c r="E995" s="70"/>
      <c r="F995" s="62"/>
      <c r="G995" s="19"/>
      <c r="H995" s="178"/>
      <c r="I995" s="57"/>
      <c r="J995" s="15"/>
      <c r="K995" s="15"/>
      <c r="L995" s="15">
        <f t="shared" si="195"/>
        <v>0</v>
      </c>
      <c r="M995" s="15"/>
      <c r="N995" s="15">
        <f t="shared" si="196"/>
        <v>0</v>
      </c>
      <c r="O995" s="15" t="str">
        <f>IF(AND(A995='BANG KE NL'!$M$11,TH!C995="NL",LEFT(D995,1)="N"),"x","")</f>
        <v/>
      </c>
    </row>
    <row r="996" spans="1:15" hidden="1">
      <c r="A996" s="24" t="str">
        <f t="shared" si="194"/>
        <v/>
      </c>
      <c r="B996" s="176" t="str">
        <f>IF(AND(MONTH(E996)='IN-NX'!$J$5,'IN-NX'!$D$7=(D996&amp;"/"&amp;C996)),"x","")</f>
        <v/>
      </c>
      <c r="C996" s="173"/>
      <c r="D996" s="173"/>
      <c r="E996" s="70"/>
      <c r="F996" s="62"/>
      <c r="G996" s="19"/>
      <c r="H996" s="178"/>
      <c r="I996" s="57"/>
      <c r="J996" s="15"/>
      <c r="K996" s="15"/>
      <c r="L996" s="15">
        <f t="shared" si="195"/>
        <v>0</v>
      </c>
      <c r="M996" s="15"/>
      <c r="N996" s="15">
        <f t="shared" si="196"/>
        <v>0</v>
      </c>
      <c r="O996" s="15" t="str">
        <f>IF(AND(A996='BANG KE NL'!$M$11,TH!C996="NL",LEFT(D996,1)="N"),"x","")</f>
        <v/>
      </c>
    </row>
    <row r="997" spans="1:15" hidden="1">
      <c r="A997" s="24" t="str">
        <f t="shared" ref="A997:A1060" si="197">IF(E997&lt;&gt;"",MONTH(E997),"")</f>
        <v/>
      </c>
      <c r="B997" s="176" t="str">
        <f>IF(AND(MONTH(E997)='IN-NX'!$J$5,'IN-NX'!$D$7=(D997&amp;"/"&amp;C997)),"x","")</f>
        <v/>
      </c>
      <c r="C997" s="173"/>
      <c r="D997" s="173"/>
      <c r="E997" s="70"/>
      <c r="F997" s="62"/>
      <c r="G997" s="19"/>
      <c r="H997" s="178"/>
      <c r="I997" s="57"/>
      <c r="J997" s="15"/>
      <c r="K997" s="15"/>
      <c r="L997" s="15">
        <f t="shared" si="195"/>
        <v>0</v>
      </c>
      <c r="M997" s="15"/>
      <c r="N997" s="15">
        <f t="shared" si="196"/>
        <v>0</v>
      </c>
      <c r="O997" s="15" t="str">
        <f>IF(AND(A997='BANG KE NL'!$M$11,TH!C997="NL",LEFT(D997,1)="N"),"x","")</f>
        <v/>
      </c>
    </row>
    <row r="998" spans="1:15" hidden="1">
      <c r="A998" s="24" t="str">
        <f t="shared" si="197"/>
        <v/>
      </c>
      <c r="B998" s="176" t="str">
        <f>IF(AND(MONTH(E998)='IN-NX'!$J$5,'IN-NX'!$D$7=(D998&amp;"/"&amp;C998)),"x","")</f>
        <v/>
      </c>
      <c r="C998" s="173"/>
      <c r="D998" s="173"/>
      <c r="E998" s="70"/>
      <c r="F998" s="62"/>
      <c r="G998" s="19"/>
      <c r="H998" s="178"/>
      <c r="I998" s="57"/>
      <c r="J998" s="15"/>
      <c r="K998" s="15"/>
      <c r="L998" s="15">
        <f t="shared" si="195"/>
        <v>0</v>
      </c>
      <c r="M998" s="15"/>
      <c r="N998" s="15">
        <f t="shared" si="196"/>
        <v>0</v>
      </c>
      <c r="O998" s="15" t="str">
        <f>IF(AND(A998='BANG KE NL'!$M$11,TH!C998="NL",LEFT(D998,1)="N"),"x","")</f>
        <v/>
      </c>
    </row>
    <row r="999" spans="1:15" hidden="1">
      <c r="A999" s="24" t="str">
        <f t="shared" si="197"/>
        <v/>
      </c>
      <c r="B999" s="176" t="str">
        <f>IF(AND(MONTH(E999)='IN-NX'!$J$5,'IN-NX'!$D$7=(D999&amp;"/"&amp;C999)),"x","")</f>
        <v/>
      </c>
      <c r="C999" s="173"/>
      <c r="D999" s="173"/>
      <c r="E999" s="70"/>
      <c r="F999" s="62"/>
      <c r="G999" s="19"/>
      <c r="H999" s="178"/>
      <c r="I999" s="57"/>
      <c r="J999" s="15"/>
      <c r="K999" s="15"/>
      <c r="L999" s="15">
        <f t="shared" si="195"/>
        <v>0</v>
      </c>
      <c r="M999" s="15"/>
      <c r="N999" s="15">
        <f t="shared" si="196"/>
        <v>0</v>
      </c>
      <c r="O999" s="15" t="str">
        <f>IF(AND(A999='BANG KE NL'!$M$11,TH!C999="NL",LEFT(D999,1)="N"),"x","")</f>
        <v/>
      </c>
    </row>
    <row r="1000" spans="1:15" hidden="1">
      <c r="A1000" s="24" t="str">
        <f t="shared" si="197"/>
        <v/>
      </c>
      <c r="B1000" s="176" t="str">
        <f>IF(AND(MONTH(E1000)='IN-NX'!$J$5,'IN-NX'!$D$7=(D1000&amp;"/"&amp;C1000)),"x","")</f>
        <v/>
      </c>
      <c r="C1000" s="173"/>
      <c r="D1000" s="173"/>
      <c r="E1000" s="70"/>
      <c r="F1000" s="62"/>
      <c r="G1000" s="19"/>
      <c r="H1000" s="178"/>
      <c r="I1000" s="57"/>
      <c r="J1000" s="15"/>
      <c r="K1000" s="15"/>
      <c r="L1000" s="15">
        <f t="shared" si="195"/>
        <v>0</v>
      </c>
      <c r="M1000" s="15"/>
      <c r="N1000" s="15">
        <f t="shared" si="196"/>
        <v>0</v>
      </c>
      <c r="O1000" s="15" t="str">
        <f>IF(AND(A1000='BANG KE NL'!$M$11,TH!C1000="NL",LEFT(D1000,1)="N"),"x","")</f>
        <v/>
      </c>
    </row>
    <row r="1001" spans="1:15" hidden="1">
      <c r="A1001" s="24" t="str">
        <f t="shared" si="197"/>
        <v/>
      </c>
      <c r="B1001" s="176" t="str">
        <f>IF(AND(MONTH(E1001)='IN-NX'!$J$5,'IN-NX'!$D$7=(D1001&amp;"/"&amp;C1001)),"x","")</f>
        <v/>
      </c>
      <c r="C1001" s="173"/>
      <c r="D1001" s="173"/>
      <c r="E1001" s="70"/>
      <c r="F1001" s="62"/>
      <c r="G1001" s="19"/>
      <c r="H1001" s="178"/>
      <c r="I1001" s="57"/>
      <c r="J1001" s="15"/>
      <c r="K1001" s="15"/>
      <c r="L1001" s="15">
        <f t="shared" si="195"/>
        <v>0</v>
      </c>
      <c r="M1001" s="15"/>
      <c r="N1001" s="15">
        <f t="shared" si="196"/>
        <v>0</v>
      </c>
      <c r="O1001" s="15" t="str">
        <f>IF(AND(A1001='BANG KE NL'!$M$11,TH!C1001="NL",LEFT(D1001,1)="N"),"x","")</f>
        <v/>
      </c>
    </row>
    <row r="1002" spans="1:15" hidden="1">
      <c r="A1002" s="24" t="str">
        <f t="shared" si="197"/>
        <v/>
      </c>
      <c r="B1002" s="176" t="str">
        <f>IF(AND(MONTH(E1002)='IN-NX'!$J$5,'IN-NX'!$D$7=(D1002&amp;"/"&amp;C1002)),"x","")</f>
        <v/>
      </c>
      <c r="C1002" s="173"/>
      <c r="D1002" s="173"/>
      <c r="E1002" s="70"/>
      <c r="F1002" s="62"/>
      <c r="G1002" s="19"/>
      <c r="H1002" s="178"/>
      <c r="I1002" s="57"/>
      <c r="J1002" s="15"/>
      <c r="K1002" s="15"/>
      <c r="L1002" s="15">
        <f t="shared" si="195"/>
        <v>0</v>
      </c>
      <c r="M1002" s="15"/>
      <c r="N1002" s="15">
        <f t="shared" si="196"/>
        <v>0</v>
      </c>
      <c r="O1002" s="15" t="str">
        <f>IF(AND(A1002='BANG KE NL'!$M$11,TH!C1002="NL",LEFT(D1002,1)="N"),"x","")</f>
        <v/>
      </c>
    </row>
    <row r="1003" spans="1:15" hidden="1">
      <c r="A1003" s="24" t="str">
        <f t="shared" si="197"/>
        <v/>
      </c>
      <c r="B1003" s="176" t="str">
        <f>IF(AND(MONTH(E1003)='IN-NX'!$J$5,'IN-NX'!$D$7=(D1003&amp;"/"&amp;C1003)),"x","")</f>
        <v/>
      </c>
      <c r="C1003" s="173"/>
      <c r="D1003" s="173"/>
      <c r="E1003" s="70"/>
      <c r="F1003" s="62"/>
      <c r="G1003" s="19"/>
      <c r="H1003" s="178"/>
      <c r="I1003" s="57"/>
      <c r="J1003" s="15"/>
      <c r="K1003" s="15"/>
      <c r="L1003" s="15">
        <f t="shared" si="195"/>
        <v>0</v>
      </c>
      <c r="M1003" s="15"/>
      <c r="N1003" s="15">
        <f t="shared" si="196"/>
        <v>0</v>
      </c>
      <c r="O1003" s="15" t="str">
        <f>IF(AND(A1003='BANG KE NL'!$M$11,TH!C1003="NL",LEFT(D1003,1)="N"),"x","")</f>
        <v/>
      </c>
    </row>
    <row r="1004" spans="1:15" hidden="1">
      <c r="A1004" s="24" t="str">
        <f t="shared" si="197"/>
        <v/>
      </c>
      <c r="B1004" s="176" t="str">
        <f>IF(AND(MONTH(E1004)='IN-NX'!$J$5,'IN-NX'!$D$7=(D1004&amp;"/"&amp;C1004)),"x","")</f>
        <v/>
      </c>
      <c r="C1004" s="173"/>
      <c r="D1004" s="173"/>
      <c r="E1004" s="70"/>
      <c r="F1004" s="62"/>
      <c r="G1004" s="19"/>
      <c r="H1004" s="178"/>
      <c r="I1004" s="57"/>
      <c r="J1004" s="15"/>
      <c r="K1004" s="15"/>
      <c r="L1004" s="15">
        <f t="shared" si="195"/>
        <v>0</v>
      </c>
      <c r="M1004" s="15"/>
      <c r="N1004" s="15">
        <f t="shared" si="196"/>
        <v>0</v>
      </c>
      <c r="O1004" s="15" t="str">
        <f>IF(AND(A1004='BANG KE NL'!$M$11,TH!C1004="NL",LEFT(D1004,1)="N"),"x","")</f>
        <v/>
      </c>
    </row>
    <row r="1005" spans="1:15" hidden="1">
      <c r="A1005" s="24" t="str">
        <f t="shared" si="197"/>
        <v/>
      </c>
      <c r="B1005" s="176" t="str">
        <f>IF(AND(MONTH(E1005)='IN-NX'!$J$5,'IN-NX'!$D$7=(D1005&amp;"/"&amp;C1005)),"x","")</f>
        <v/>
      </c>
      <c r="C1005" s="173"/>
      <c r="D1005" s="173"/>
      <c r="E1005" s="70"/>
      <c r="F1005" s="62"/>
      <c r="G1005" s="19"/>
      <c r="H1005" s="178"/>
      <c r="I1005" s="57"/>
      <c r="J1005" s="15"/>
      <c r="K1005" s="15"/>
      <c r="L1005" s="15">
        <f t="shared" ref="L1005:L1068" si="198">ROUND(J1005*K1005,0)</f>
        <v>0</v>
      </c>
      <c r="M1005" s="15"/>
      <c r="N1005" s="15">
        <f t="shared" ref="N1005:N1068" si="199">ROUND(J1005*M1005,0)</f>
        <v>0</v>
      </c>
      <c r="O1005" s="15" t="str">
        <f>IF(AND(A1005='BANG KE NL'!$M$11,TH!C1005="NL",LEFT(D1005,1)="N"),"x","")</f>
        <v/>
      </c>
    </row>
    <row r="1006" spans="1:15" hidden="1">
      <c r="A1006" s="24" t="str">
        <f t="shared" si="197"/>
        <v/>
      </c>
      <c r="B1006" s="176" t="str">
        <f>IF(AND(MONTH(E1006)='IN-NX'!$J$5,'IN-NX'!$D$7=(D1006&amp;"/"&amp;C1006)),"x","")</f>
        <v/>
      </c>
      <c r="C1006" s="173"/>
      <c r="D1006" s="173"/>
      <c r="E1006" s="70"/>
      <c r="F1006" s="62"/>
      <c r="G1006" s="19"/>
      <c r="H1006" s="178"/>
      <c r="I1006" s="57"/>
      <c r="J1006" s="15"/>
      <c r="K1006" s="15"/>
      <c r="L1006" s="15">
        <f t="shared" si="198"/>
        <v>0</v>
      </c>
      <c r="M1006" s="15"/>
      <c r="N1006" s="15">
        <f t="shared" si="199"/>
        <v>0</v>
      </c>
      <c r="O1006" s="15" t="str">
        <f>IF(AND(A1006='BANG KE NL'!$M$11,TH!C1006="NL",LEFT(D1006,1)="N"),"x","")</f>
        <v/>
      </c>
    </row>
    <row r="1007" spans="1:15" hidden="1">
      <c r="A1007" s="24" t="str">
        <f t="shared" si="197"/>
        <v/>
      </c>
      <c r="B1007" s="176" t="str">
        <f>IF(AND(MONTH(E1007)='IN-NX'!$J$5,'IN-NX'!$D$7=(D1007&amp;"/"&amp;C1007)),"x","")</f>
        <v/>
      </c>
      <c r="C1007" s="173"/>
      <c r="D1007" s="173"/>
      <c r="E1007" s="70"/>
      <c r="F1007" s="62"/>
      <c r="G1007" s="19"/>
      <c r="H1007" s="178"/>
      <c r="I1007" s="57"/>
      <c r="J1007" s="15"/>
      <c r="K1007" s="15"/>
      <c r="L1007" s="15">
        <f t="shared" si="198"/>
        <v>0</v>
      </c>
      <c r="M1007" s="15"/>
      <c r="N1007" s="15">
        <f t="shared" si="199"/>
        <v>0</v>
      </c>
      <c r="O1007" s="15" t="str">
        <f>IF(AND(A1007='BANG KE NL'!$M$11,TH!C1007="NL",LEFT(D1007,1)="N"),"x","")</f>
        <v/>
      </c>
    </row>
    <row r="1008" spans="1:15" hidden="1">
      <c r="A1008" s="24" t="str">
        <f t="shared" si="197"/>
        <v/>
      </c>
      <c r="B1008" s="176" t="str">
        <f>IF(AND(MONTH(E1008)='IN-NX'!$J$5,'IN-NX'!$D$7=(D1008&amp;"/"&amp;C1008)),"x","")</f>
        <v/>
      </c>
      <c r="C1008" s="173"/>
      <c r="D1008" s="173"/>
      <c r="E1008" s="70"/>
      <c r="F1008" s="62"/>
      <c r="G1008" s="19"/>
      <c r="H1008" s="178"/>
      <c r="I1008" s="57"/>
      <c r="J1008" s="15"/>
      <c r="K1008" s="15"/>
      <c r="L1008" s="15">
        <f t="shared" si="198"/>
        <v>0</v>
      </c>
      <c r="M1008" s="15"/>
      <c r="N1008" s="15">
        <f t="shared" si="199"/>
        <v>0</v>
      </c>
      <c r="O1008" s="15" t="str">
        <f>IF(AND(A1008='BANG KE NL'!$M$11,TH!C1008="NL",LEFT(D1008,1)="N"),"x","")</f>
        <v/>
      </c>
    </row>
    <row r="1009" spans="1:15" hidden="1">
      <c r="A1009" s="24" t="str">
        <f t="shared" si="197"/>
        <v/>
      </c>
      <c r="B1009" s="176" t="str">
        <f>IF(AND(MONTH(E1009)='IN-NX'!$J$5,'IN-NX'!$D$7=(D1009&amp;"/"&amp;C1009)),"x","")</f>
        <v/>
      </c>
      <c r="C1009" s="173"/>
      <c r="D1009" s="173"/>
      <c r="E1009" s="70"/>
      <c r="F1009" s="62"/>
      <c r="G1009" s="19"/>
      <c r="H1009" s="178"/>
      <c r="I1009" s="57"/>
      <c r="J1009" s="15"/>
      <c r="K1009" s="15"/>
      <c r="L1009" s="15">
        <f t="shared" si="198"/>
        <v>0</v>
      </c>
      <c r="M1009" s="15"/>
      <c r="N1009" s="15">
        <f t="shared" si="199"/>
        <v>0</v>
      </c>
      <c r="O1009" s="15" t="str">
        <f>IF(AND(A1009='BANG KE NL'!$M$11,TH!C1009="NL",LEFT(D1009,1)="N"),"x","")</f>
        <v/>
      </c>
    </row>
    <row r="1010" spans="1:15" hidden="1">
      <c r="A1010" s="24" t="str">
        <f t="shared" si="197"/>
        <v/>
      </c>
      <c r="B1010" s="176" t="str">
        <f>IF(AND(MONTH(E1010)='IN-NX'!$J$5,'IN-NX'!$D$7=(D1010&amp;"/"&amp;C1010)),"x","")</f>
        <v/>
      </c>
      <c r="C1010" s="173"/>
      <c r="D1010" s="173"/>
      <c r="E1010" s="70"/>
      <c r="F1010" s="62"/>
      <c r="G1010" s="19"/>
      <c r="H1010" s="178"/>
      <c r="I1010" s="57"/>
      <c r="J1010" s="15"/>
      <c r="K1010" s="15"/>
      <c r="L1010" s="15">
        <f t="shared" si="198"/>
        <v>0</v>
      </c>
      <c r="M1010" s="15"/>
      <c r="N1010" s="15">
        <f t="shared" si="199"/>
        <v>0</v>
      </c>
      <c r="O1010" s="15" t="str">
        <f>IF(AND(A1010='BANG KE NL'!$M$11,TH!C1010="NL",LEFT(D1010,1)="N"),"x","")</f>
        <v/>
      </c>
    </row>
    <row r="1011" spans="1:15" hidden="1">
      <c r="A1011" s="24" t="str">
        <f t="shared" si="197"/>
        <v/>
      </c>
      <c r="B1011" s="176" t="str">
        <f>IF(AND(MONTH(E1011)='IN-NX'!$J$5,'IN-NX'!$D$7=(D1011&amp;"/"&amp;C1011)),"x","")</f>
        <v/>
      </c>
      <c r="C1011" s="173"/>
      <c r="D1011" s="173"/>
      <c r="E1011" s="70"/>
      <c r="F1011" s="62"/>
      <c r="G1011" s="19"/>
      <c r="H1011" s="178"/>
      <c r="I1011" s="57"/>
      <c r="J1011" s="15"/>
      <c r="K1011" s="15"/>
      <c r="L1011" s="15">
        <f t="shared" si="198"/>
        <v>0</v>
      </c>
      <c r="M1011" s="15"/>
      <c r="N1011" s="15">
        <f t="shared" si="199"/>
        <v>0</v>
      </c>
      <c r="O1011" s="15" t="str">
        <f>IF(AND(A1011='BANG KE NL'!$M$11,TH!C1011="NL",LEFT(D1011,1)="N"),"x","")</f>
        <v/>
      </c>
    </row>
    <row r="1012" spans="1:15" hidden="1">
      <c r="A1012" s="24" t="str">
        <f t="shared" si="197"/>
        <v/>
      </c>
      <c r="B1012" s="176" t="str">
        <f>IF(AND(MONTH(E1012)='IN-NX'!$J$5,'IN-NX'!$D$7=(D1012&amp;"/"&amp;C1012)),"x","")</f>
        <v/>
      </c>
      <c r="C1012" s="173"/>
      <c r="D1012" s="173"/>
      <c r="E1012" s="70"/>
      <c r="F1012" s="62"/>
      <c r="G1012" s="19"/>
      <c r="H1012" s="178"/>
      <c r="I1012" s="57"/>
      <c r="J1012" s="15"/>
      <c r="K1012" s="15"/>
      <c r="L1012" s="15">
        <f t="shared" si="198"/>
        <v>0</v>
      </c>
      <c r="M1012" s="15"/>
      <c r="N1012" s="15">
        <f t="shared" si="199"/>
        <v>0</v>
      </c>
      <c r="O1012" s="15" t="str">
        <f>IF(AND(A1012='BANG KE NL'!$M$11,TH!C1012="NL",LEFT(D1012,1)="N"),"x","")</f>
        <v/>
      </c>
    </row>
    <row r="1013" spans="1:15" hidden="1">
      <c r="A1013" s="24" t="str">
        <f t="shared" si="197"/>
        <v/>
      </c>
      <c r="B1013" s="176" t="str">
        <f>IF(AND(MONTH(E1013)='IN-NX'!$J$5,'IN-NX'!$D$7=(D1013&amp;"/"&amp;C1013)),"x","")</f>
        <v/>
      </c>
      <c r="C1013" s="173"/>
      <c r="D1013" s="173"/>
      <c r="E1013" s="70"/>
      <c r="F1013" s="62"/>
      <c r="G1013" s="19"/>
      <c r="H1013" s="178"/>
      <c r="I1013" s="57"/>
      <c r="J1013" s="15"/>
      <c r="K1013" s="15"/>
      <c r="L1013" s="15">
        <f t="shared" si="198"/>
        <v>0</v>
      </c>
      <c r="M1013" s="15"/>
      <c r="N1013" s="15">
        <f t="shared" si="199"/>
        <v>0</v>
      </c>
      <c r="O1013" s="15" t="str">
        <f>IF(AND(A1013='BANG KE NL'!$M$11,TH!C1013="NL",LEFT(D1013,1)="N"),"x","")</f>
        <v/>
      </c>
    </row>
    <row r="1014" spans="1:15" hidden="1">
      <c r="A1014" s="24" t="str">
        <f t="shared" si="197"/>
        <v/>
      </c>
      <c r="B1014" s="176" t="str">
        <f>IF(AND(MONTH(E1014)='IN-NX'!$J$5,'IN-NX'!$D$7=(D1014&amp;"/"&amp;C1014)),"x","")</f>
        <v/>
      </c>
      <c r="C1014" s="173"/>
      <c r="D1014" s="173"/>
      <c r="E1014" s="70"/>
      <c r="F1014" s="62"/>
      <c r="G1014" s="19"/>
      <c r="H1014" s="178"/>
      <c r="I1014" s="57"/>
      <c r="J1014" s="15"/>
      <c r="K1014" s="15"/>
      <c r="L1014" s="15">
        <f t="shared" si="198"/>
        <v>0</v>
      </c>
      <c r="M1014" s="15"/>
      <c r="N1014" s="15">
        <f t="shared" si="199"/>
        <v>0</v>
      </c>
      <c r="O1014" s="15" t="str">
        <f>IF(AND(A1014='BANG KE NL'!$M$11,TH!C1014="NL",LEFT(D1014,1)="N"),"x","")</f>
        <v/>
      </c>
    </row>
    <row r="1015" spans="1:15" hidden="1">
      <c r="A1015" s="24" t="str">
        <f t="shared" si="197"/>
        <v/>
      </c>
      <c r="B1015" s="176" t="str">
        <f>IF(AND(MONTH(E1015)='IN-NX'!$J$5,'IN-NX'!$D$7=(D1015&amp;"/"&amp;C1015)),"x","")</f>
        <v/>
      </c>
      <c r="C1015" s="173"/>
      <c r="D1015" s="173"/>
      <c r="E1015" s="70"/>
      <c r="F1015" s="62"/>
      <c r="G1015" s="19"/>
      <c r="H1015" s="178"/>
      <c r="I1015" s="57"/>
      <c r="J1015" s="15"/>
      <c r="K1015" s="15"/>
      <c r="L1015" s="15">
        <f t="shared" si="198"/>
        <v>0</v>
      </c>
      <c r="M1015" s="15"/>
      <c r="N1015" s="15">
        <f t="shared" si="199"/>
        <v>0</v>
      </c>
      <c r="O1015" s="15" t="str">
        <f>IF(AND(A1015='BANG KE NL'!$M$11,TH!C1015="NL",LEFT(D1015,1)="N"),"x","")</f>
        <v/>
      </c>
    </row>
    <row r="1016" spans="1:15" hidden="1">
      <c r="A1016" s="24" t="str">
        <f t="shared" si="197"/>
        <v/>
      </c>
      <c r="B1016" s="176" t="str">
        <f>IF(AND(MONTH(E1016)='IN-NX'!$J$5,'IN-NX'!$D$7=(D1016&amp;"/"&amp;C1016)),"x","")</f>
        <v/>
      </c>
      <c r="C1016" s="173"/>
      <c r="D1016" s="173"/>
      <c r="E1016" s="70"/>
      <c r="F1016" s="62"/>
      <c r="G1016" s="19"/>
      <c r="H1016" s="178"/>
      <c r="I1016" s="57"/>
      <c r="J1016" s="15"/>
      <c r="K1016" s="15"/>
      <c r="L1016" s="15">
        <f t="shared" si="198"/>
        <v>0</v>
      </c>
      <c r="M1016" s="15"/>
      <c r="N1016" s="15">
        <f t="shared" si="199"/>
        <v>0</v>
      </c>
      <c r="O1016" s="15" t="str">
        <f>IF(AND(A1016='BANG KE NL'!$M$11,TH!C1016="NL",LEFT(D1016,1)="N"),"x","")</f>
        <v/>
      </c>
    </row>
    <row r="1017" spans="1:15" hidden="1">
      <c r="A1017" s="24" t="str">
        <f t="shared" si="197"/>
        <v/>
      </c>
      <c r="B1017" s="176" t="str">
        <f>IF(AND(MONTH(E1017)='IN-NX'!$J$5,'IN-NX'!$D$7=(D1017&amp;"/"&amp;C1017)),"x","")</f>
        <v/>
      </c>
      <c r="C1017" s="173"/>
      <c r="D1017" s="173"/>
      <c r="E1017" s="70"/>
      <c r="F1017" s="62"/>
      <c r="G1017" s="19"/>
      <c r="H1017" s="178"/>
      <c r="I1017" s="57"/>
      <c r="J1017" s="15"/>
      <c r="K1017" s="15"/>
      <c r="L1017" s="15">
        <f t="shared" si="198"/>
        <v>0</v>
      </c>
      <c r="M1017" s="15"/>
      <c r="N1017" s="15">
        <f t="shared" si="199"/>
        <v>0</v>
      </c>
      <c r="O1017" s="15" t="str">
        <f>IF(AND(A1017='BANG KE NL'!$M$11,TH!C1017="NL",LEFT(D1017,1)="N"),"x","")</f>
        <v/>
      </c>
    </row>
    <row r="1018" spans="1:15" hidden="1">
      <c r="A1018" s="24" t="str">
        <f t="shared" si="197"/>
        <v/>
      </c>
      <c r="B1018" s="176" t="str">
        <f>IF(AND(MONTH(E1018)='IN-NX'!$J$5,'IN-NX'!$D$7=(D1018&amp;"/"&amp;C1018)),"x","")</f>
        <v/>
      </c>
      <c r="C1018" s="173"/>
      <c r="D1018" s="173"/>
      <c r="E1018" s="70"/>
      <c r="F1018" s="62"/>
      <c r="G1018" s="19"/>
      <c r="H1018" s="178"/>
      <c r="I1018" s="57"/>
      <c r="J1018" s="15"/>
      <c r="K1018" s="15"/>
      <c r="L1018" s="15">
        <f t="shared" si="198"/>
        <v>0</v>
      </c>
      <c r="M1018" s="15"/>
      <c r="N1018" s="15">
        <f t="shared" si="199"/>
        <v>0</v>
      </c>
      <c r="O1018" s="15" t="str">
        <f>IF(AND(A1018='BANG KE NL'!$M$11,TH!C1018="NL",LEFT(D1018,1)="N"),"x","")</f>
        <v/>
      </c>
    </row>
    <row r="1019" spans="1:15" hidden="1">
      <c r="A1019" s="24" t="str">
        <f t="shared" si="197"/>
        <v/>
      </c>
      <c r="B1019" s="176" t="str">
        <f>IF(AND(MONTH(E1019)='IN-NX'!$J$5,'IN-NX'!$D$7=(D1019&amp;"/"&amp;C1019)),"x","")</f>
        <v/>
      </c>
      <c r="C1019" s="173"/>
      <c r="D1019" s="173"/>
      <c r="E1019" s="70"/>
      <c r="F1019" s="62"/>
      <c r="G1019" s="19"/>
      <c r="H1019" s="178"/>
      <c r="I1019" s="57"/>
      <c r="J1019" s="15"/>
      <c r="K1019" s="15"/>
      <c r="L1019" s="15">
        <f t="shared" si="198"/>
        <v>0</v>
      </c>
      <c r="M1019" s="15"/>
      <c r="N1019" s="15">
        <f t="shared" si="199"/>
        <v>0</v>
      </c>
      <c r="O1019" s="15" t="str">
        <f>IF(AND(A1019='BANG KE NL'!$M$11,TH!C1019="NL",LEFT(D1019,1)="N"),"x","")</f>
        <v/>
      </c>
    </row>
    <row r="1020" spans="1:15" hidden="1">
      <c r="A1020" s="24" t="str">
        <f t="shared" si="197"/>
        <v/>
      </c>
      <c r="B1020" s="176" t="str">
        <f>IF(AND(MONTH(E1020)='IN-NX'!$J$5,'IN-NX'!$D$7=(D1020&amp;"/"&amp;C1020)),"x","")</f>
        <v/>
      </c>
      <c r="C1020" s="173"/>
      <c r="D1020" s="173"/>
      <c r="E1020" s="70"/>
      <c r="F1020" s="62"/>
      <c r="G1020" s="19"/>
      <c r="H1020" s="178"/>
      <c r="I1020" s="57"/>
      <c r="J1020" s="15"/>
      <c r="K1020" s="15"/>
      <c r="L1020" s="15">
        <f t="shared" si="198"/>
        <v>0</v>
      </c>
      <c r="M1020" s="15"/>
      <c r="N1020" s="15">
        <f t="shared" si="199"/>
        <v>0</v>
      </c>
      <c r="O1020" s="15" t="str">
        <f>IF(AND(A1020='BANG KE NL'!$M$11,TH!C1020="NL",LEFT(D1020,1)="N"),"x","")</f>
        <v/>
      </c>
    </row>
    <row r="1021" spans="1:15" hidden="1">
      <c r="A1021" s="24" t="str">
        <f t="shared" si="197"/>
        <v/>
      </c>
      <c r="B1021" s="176" t="str">
        <f>IF(AND(MONTH(E1021)='IN-NX'!$J$5,'IN-NX'!$D$7=(D1021&amp;"/"&amp;C1021)),"x","")</f>
        <v/>
      </c>
      <c r="C1021" s="173"/>
      <c r="D1021" s="173"/>
      <c r="E1021" s="70"/>
      <c r="F1021" s="62"/>
      <c r="G1021" s="19"/>
      <c r="H1021" s="178"/>
      <c r="I1021" s="57"/>
      <c r="J1021" s="15"/>
      <c r="K1021" s="15"/>
      <c r="L1021" s="15">
        <f t="shared" si="198"/>
        <v>0</v>
      </c>
      <c r="M1021" s="15"/>
      <c r="N1021" s="15">
        <f t="shared" si="199"/>
        <v>0</v>
      </c>
      <c r="O1021" s="15" t="str">
        <f>IF(AND(A1021='BANG KE NL'!$M$11,TH!C1021="NL",LEFT(D1021,1)="N"),"x","")</f>
        <v/>
      </c>
    </row>
    <row r="1022" spans="1:15" hidden="1">
      <c r="A1022" s="24" t="str">
        <f t="shared" si="197"/>
        <v/>
      </c>
      <c r="B1022" s="176" t="str">
        <f>IF(AND(MONTH(E1022)='IN-NX'!$J$5,'IN-NX'!$D$7=(D1022&amp;"/"&amp;C1022)),"x","")</f>
        <v/>
      </c>
      <c r="C1022" s="173"/>
      <c r="D1022" s="173"/>
      <c r="E1022" s="70"/>
      <c r="F1022" s="62"/>
      <c r="G1022" s="19"/>
      <c r="H1022" s="178"/>
      <c r="I1022" s="57"/>
      <c r="J1022" s="15"/>
      <c r="K1022" s="15"/>
      <c r="L1022" s="15">
        <f t="shared" si="198"/>
        <v>0</v>
      </c>
      <c r="M1022" s="15"/>
      <c r="N1022" s="15">
        <f t="shared" si="199"/>
        <v>0</v>
      </c>
      <c r="O1022" s="15" t="str">
        <f>IF(AND(A1022='BANG KE NL'!$M$11,TH!C1022="NL",LEFT(D1022,1)="N"),"x","")</f>
        <v/>
      </c>
    </row>
    <row r="1023" spans="1:15" hidden="1">
      <c r="A1023" s="24" t="str">
        <f t="shared" si="197"/>
        <v/>
      </c>
      <c r="B1023" s="176" t="str">
        <f>IF(AND(MONTH(E1023)='IN-NX'!$J$5,'IN-NX'!$D$7=(D1023&amp;"/"&amp;C1023)),"x","")</f>
        <v/>
      </c>
      <c r="C1023" s="173"/>
      <c r="D1023" s="173"/>
      <c r="E1023" s="70"/>
      <c r="F1023" s="62"/>
      <c r="G1023" s="19"/>
      <c r="H1023" s="178"/>
      <c r="I1023" s="57"/>
      <c r="J1023" s="15"/>
      <c r="K1023" s="15"/>
      <c r="L1023" s="15">
        <f t="shared" si="198"/>
        <v>0</v>
      </c>
      <c r="M1023" s="15"/>
      <c r="N1023" s="15">
        <f t="shared" si="199"/>
        <v>0</v>
      </c>
      <c r="O1023" s="15" t="str">
        <f>IF(AND(A1023='BANG KE NL'!$M$11,TH!C1023="NL",LEFT(D1023,1)="N"),"x","")</f>
        <v/>
      </c>
    </row>
    <row r="1024" spans="1:15" hidden="1">
      <c r="A1024" s="24" t="str">
        <f t="shared" si="197"/>
        <v/>
      </c>
      <c r="B1024" s="176" t="str">
        <f>IF(AND(MONTH(E1024)='IN-NX'!$J$5,'IN-NX'!$D$7=(D1024&amp;"/"&amp;C1024)),"x","")</f>
        <v/>
      </c>
      <c r="C1024" s="173"/>
      <c r="D1024" s="173"/>
      <c r="E1024" s="70"/>
      <c r="F1024" s="62"/>
      <c r="G1024" s="19"/>
      <c r="H1024" s="178"/>
      <c r="I1024" s="57"/>
      <c r="J1024" s="15"/>
      <c r="K1024" s="15"/>
      <c r="L1024" s="15">
        <f t="shared" si="198"/>
        <v>0</v>
      </c>
      <c r="M1024" s="15"/>
      <c r="N1024" s="15">
        <f t="shared" si="199"/>
        <v>0</v>
      </c>
      <c r="O1024" s="15" t="str">
        <f>IF(AND(A1024='BANG KE NL'!$M$11,TH!C1024="NL",LEFT(D1024,1)="N"),"x","")</f>
        <v/>
      </c>
    </row>
    <row r="1025" spans="1:15" hidden="1">
      <c r="A1025" s="24" t="str">
        <f t="shared" si="197"/>
        <v/>
      </c>
      <c r="B1025" s="176" t="str">
        <f>IF(AND(MONTH(E1025)='IN-NX'!$J$5,'IN-NX'!$D$7=(D1025&amp;"/"&amp;C1025)),"x","")</f>
        <v/>
      </c>
      <c r="C1025" s="173"/>
      <c r="D1025" s="173"/>
      <c r="E1025" s="70"/>
      <c r="F1025" s="62"/>
      <c r="G1025" s="19"/>
      <c r="H1025" s="178"/>
      <c r="I1025" s="57"/>
      <c r="J1025" s="15"/>
      <c r="K1025" s="15"/>
      <c r="L1025" s="15">
        <f t="shared" si="198"/>
        <v>0</v>
      </c>
      <c r="M1025" s="15"/>
      <c r="N1025" s="15">
        <f t="shared" si="199"/>
        <v>0</v>
      </c>
      <c r="O1025" s="15" t="str">
        <f>IF(AND(A1025='BANG KE NL'!$M$11,TH!C1025="NL",LEFT(D1025,1)="N"),"x","")</f>
        <v/>
      </c>
    </row>
    <row r="1026" spans="1:15" hidden="1">
      <c r="A1026" s="24" t="str">
        <f t="shared" si="197"/>
        <v/>
      </c>
      <c r="B1026" s="176" t="str">
        <f>IF(AND(MONTH(E1026)='IN-NX'!$J$5,'IN-NX'!$D$7=(D1026&amp;"/"&amp;C1026)),"x","")</f>
        <v/>
      </c>
      <c r="C1026" s="173"/>
      <c r="D1026" s="173"/>
      <c r="E1026" s="70"/>
      <c r="F1026" s="62"/>
      <c r="G1026" s="19"/>
      <c r="H1026" s="178"/>
      <c r="I1026" s="57"/>
      <c r="J1026" s="15"/>
      <c r="K1026" s="15"/>
      <c r="L1026" s="15">
        <f t="shared" si="198"/>
        <v>0</v>
      </c>
      <c r="M1026" s="15"/>
      <c r="N1026" s="15">
        <f t="shared" si="199"/>
        <v>0</v>
      </c>
      <c r="O1026" s="15" t="str">
        <f>IF(AND(A1026='BANG KE NL'!$M$11,TH!C1026="NL",LEFT(D1026,1)="N"),"x","")</f>
        <v/>
      </c>
    </row>
    <row r="1027" spans="1:15" hidden="1">
      <c r="A1027" s="24" t="str">
        <f t="shared" si="197"/>
        <v/>
      </c>
      <c r="B1027" s="176" t="str">
        <f>IF(AND(MONTH(E1027)='IN-NX'!$J$5,'IN-NX'!$D$7=(D1027&amp;"/"&amp;C1027)),"x","")</f>
        <v/>
      </c>
      <c r="C1027" s="173"/>
      <c r="D1027" s="173"/>
      <c r="E1027" s="70"/>
      <c r="F1027" s="62"/>
      <c r="G1027" s="19"/>
      <c r="H1027" s="178"/>
      <c r="I1027" s="57"/>
      <c r="J1027" s="15"/>
      <c r="K1027" s="15"/>
      <c r="L1027" s="15">
        <f t="shared" si="198"/>
        <v>0</v>
      </c>
      <c r="M1027" s="15"/>
      <c r="N1027" s="15">
        <f t="shared" si="199"/>
        <v>0</v>
      </c>
      <c r="O1027" s="15" t="str">
        <f>IF(AND(A1027='BANG KE NL'!$M$11,TH!C1027="NL",LEFT(D1027,1)="N"),"x","")</f>
        <v/>
      </c>
    </row>
    <row r="1028" spans="1:15" hidden="1">
      <c r="A1028" s="24" t="str">
        <f t="shared" si="197"/>
        <v/>
      </c>
      <c r="B1028" s="176" t="str">
        <f>IF(AND(MONTH(E1028)='IN-NX'!$J$5,'IN-NX'!$D$7=(D1028&amp;"/"&amp;C1028)),"x","")</f>
        <v/>
      </c>
      <c r="C1028" s="173"/>
      <c r="D1028" s="173"/>
      <c r="E1028" s="70"/>
      <c r="F1028" s="62"/>
      <c r="G1028" s="19"/>
      <c r="H1028" s="178"/>
      <c r="I1028" s="57"/>
      <c r="J1028" s="15"/>
      <c r="K1028" s="15"/>
      <c r="L1028" s="15">
        <f t="shared" si="198"/>
        <v>0</v>
      </c>
      <c r="M1028" s="15"/>
      <c r="N1028" s="15">
        <f t="shared" si="199"/>
        <v>0</v>
      </c>
      <c r="O1028" s="15" t="str">
        <f>IF(AND(A1028='BANG KE NL'!$M$11,TH!C1028="NL",LEFT(D1028,1)="N"),"x","")</f>
        <v/>
      </c>
    </row>
    <row r="1029" spans="1:15" hidden="1">
      <c r="A1029" s="24" t="str">
        <f t="shared" si="197"/>
        <v/>
      </c>
      <c r="B1029" s="176" t="str">
        <f>IF(AND(MONTH(E1029)='IN-NX'!$J$5,'IN-NX'!$D$7=(D1029&amp;"/"&amp;C1029)),"x","")</f>
        <v/>
      </c>
      <c r="C1029" s="173"/>
      <c r="D1029" s="173"/>
      <c r="E1029" s="70"/>
      <c r="F1029" s="62"/>
      <c r="G1029" s="19"/>
      <c r="H1029" s="178"/>
      <c r="I1029" s="57"/>
      <c r="J1029" s="15"/>
      <c r="K1029" s="15"/>
      <c r="L1029" s="15">
        <f t="shared" si="198"/>
        <v>0</v>
      </c>
      <c r="M1029" s="15"/>
      <c r="N1029" s="15">
        <f t="shared" si="199"/>
        <v>0</v>
      </c>
      <c r="O1029" s="15" t="str">
        <f>IF(AND(A1029='BANG KE NL'!$M$11,TH!C1029="NL",LEFT(D1029,1)="N"),"x","")</f>
        <v/>
      </c>
    </row>
    <row r="1030" spans="1:15" hidden="1">
      <c r="A1030" s="24" t="str">
        <f t="shared" si="197"/>
        <v/>
      </c>
      <c r="B1030" s="176" t="str">
        <f>IF(AND(MONTH(E1030)='IN-NX'!$J$5,'IN-NX'!$D$7=(D1030&amp;"/"&amp;C1030)),"x","")</f>
        <v/>
      </c>
      <c r="C1030" s="173"/>
      <c r="D1030" s="173"/>
      <c r="E1030" s="70"/>
      <c r="F1030" s="62"/>
      <c r="G1030" s="19"/>
      <c r="H1030" s="178"/>
      <c r="I1030" s="57"/>
      <c r="J1030" s="15"/>
      <c r="K1030" s="15"/>
      <c r="L1030" s="15">
        <f t="shared" si="198"/>
        <v>0</v>
      </c>
      <c r="M1030" s="15"/>
      <c r="N1030" s="15">
        <f t="shared" si="199"/>
        <v>0</v>
      </c>
      <c r="O1030" s="15" t="str">
        <f>IF(AND(A1030='BANG KE NL'!$M$11,TH!C1030="NL",LEFT(D1030,1)="N"),"x","")</f>
        <v/>
      </c>
    </row>
    <row r="1031" spans="1:15" hidden="1">
      <c r="A1031" s="24" t="str">
        <f t="shared" si="197"/>
        <v/>
      </c>
      <c r="B1031" s="176" t="str">
        <f>IF(AND(MONTH(E1031)='IN-NX'!$J$5,'IN-NX'!$D$7=(D1031&amp;"/"&amp;C1031)),"x","")</f>
        <v/>
      </c>
      <c r="C1031" s="173"/>
      <c r="D1031" s="173"/>
      <c r="E1031" s="70"/>
      <c r="F1031" s="62"/>
      <c r="G1031" s="19"/>
      <c r="H1031" s="178"/>
      <c r="I1031" s="57"/>
      <c r="J1031" s="15"/>
      <c r="K1031" s="15"/>
      <c r="L1031" s="15">
        <f t="shared" si="198"/>
        <v>0</v>
      </c>
      <c r="M1031" s="15"/>
      <c r="N1031" s="15">
        <f t="shared" si="199"/>
        <v>0</v>
      </c>
      <c r="O1031" s="15" t="str">
        <f>IF(AND(A1031='BANG KE NL'!$M$11,TH!C1031="NL",LEFT(D1031,1)="N"),"x","")</f>
        <v/>
      </c>
    </row>
    <row r="1032" spans="1:15" hidden="1">
      <c r="A1032" s="24" t="str">
        <f t="shared" si="197"/>
        <v/>
      </c>
      <c r="B1032" s="176" t="str">
        <f>IF(AND(MONTH(E1032)='IN-NX'!$J$5,'IN-NX'!$D$7=(D1032&amp;"/"&amp;C1032)),"x","")</f>
        <v/>
      </c>
      <c r="C1032" s="173"/>
      <c r="D1032" s="173"/>
      <c r="E1032" s="70"/>
      <c r="F1032" s="62"/>
      <c r="G1032" s="19"/>
      <c r="H1032" s="178"/>
      <c r="I1032" s="57"/>
      <c r="J1032" s="15"/>
      <c r="K1032" s="15"/>
      <c r="L1032" s="15">
        <f t="shared" si="198"/>
        <v>0</v>
      </c>
      <c r="M1032" s="15"/>
      <c r="N1032" s="15">
        <f t="shared" si="199"/>
        <v>0</v>
      </c>
      <c r="O1032" s="15" t="str">
        <f>IF(AND(A1032='BANG KE NL'!$M$11,TH!C1032="NL",LEFT(D1032,1)="N"),"x","")</f>
        <v/>
      </c>
    </row>
    <row r="1033" spans="1:15" hidden="1">
      <c r="A1033" s="24" t="str">
        <f t="shared" si="197"/>
        <v/>
      </c>
      <c r="B1033" s="176" t="str">
        <f>IF(AND(MONTH(E1033)='IN-NX'!$J$5,'IN-NX'!$D$7=(D1033&amp;"/"&amp;C1033)),"x","")</f>
        <v/>
      </c>
      <c r="C1033" s="173"/>
      <c r="D1033" s="173"/>
      <c r="E1033" s="70"/>
      <c r="F1033" s="62"/>
      <c r="G1033" s="19"/>
      <c r="H1033" s="178"/>
      <c r="I1033" s="57"/>
      <c r="J1033" s="15"/>
      <c r="K1033" s="15"/>
      <c r="L1033" s="15">
        <f t="shared" si="198"/>
        <v>0</v>
      </c>
      <c r="M1033" s="15"/>
      <c r="N1033" s="15">
        <f t="shared" si="199"/>
        <v>0</v>
      </c>
      <c r="O1033" s="15" t="str">
        <f>IF(AND(A1033='BANG KE NL'!$M$11,TH!C1033="NL",LEFT(D1033,1)="N"),"x","")</f>
        <v/>
      </c>
    </row>
    <row r="1034" spans="1:15" hidden="1">
      <c r="A1034" s="24" t="str">
        <f t="shared" si="197"/>
        <v/>
      </c>
      <c r="B1034" s="176" t="str">
        <f>IF(AND(MONTH(E1034)='IN-NX'!$J$5,'IN-NX'!$D$7=(D1034&amp;"/"&amp;C1034)),"x","")</f>
        <v/>
      </c>
      <c r="C1034" s="173"/>
      <c r="D1034" s="173"/>
      <c r="E1034" s="70"/>
      <c r="F1034" s="62"/>
      <c r="G1034" s="19"/>
      <c r="H1034" s="178"/>
      <c r="I1034" s="57"/>
      <c r="J1034" s="15"/>
      <c r="K1034" s="15"/>
      <c r="L1034" s="15">
        <f t="shared" si="198"/>
        <v>0</v>
      </c>
      <c r="M1034" s="15"/>
      <c r="N1034" s="15">
        <f t="shared" si="199"/>
        <v>0</v>
      </c>
      <c r="O1034" s="15" t="str">
        <f>IF(AND(A1034='BANG KE NL'!$M$11,TH!C1034="NL",LEFT(D1034,1)="N"),"x","")</f>
        <v/>
      </c>
    </row>
    <row r="1035" spans="1:15" hidden="1">
      <c r="A1035" s="24" t="str">
        <f t="shared" si="197"/>
        <v/>
      </c>
      <c r="B1035" s="176" t="str">
        <f>IF(AND(MONTH(E1035)='IN-NX'!$J$5,'IN-NX'!$D$7=(D1035&amp;"/"&amp;C1035)),"x","")</f>
        <v/>
      </c>
      <c r="C1035" s="173"/>
      <c r="D1035" s="173"/>
      <c r="E1035" s="70"/>
      <c r="F1035" s="62"/>
      <c r="G1035" s="19"/>
      <c r="H1035" s="178"/>
      <c r="I1035" s="57"/>
      <c r="J1035" s="15"/>
      <c r="K1035" s="15"/>
      <c r="L1035" s="15">
        <f t="shared" si="198"/>
        <v>0</v>
      </c>
      <c r="M1035" s="15"/>
      <c r="N1035" s="15">
        <f t="shared" si="199"/>
        <v>0</v>
      </c>
      <c r="O1035" s="15" t="str">
        <f>IF(AND(A1035='BANG KE NL'!$M$11,TH!C1035="NL",LEFT(D1035,1)="N"),"x","")</f>
        <v/>
      </c>
    </row>
    <row r="1036" spans="1:15" hidden="1">
      <c r="A1036" s="24" t="str">
        <f t="shared" si="197"/>
        <v/>
      </c>
      <c r="B1036" s="176" t="str">
        <f>IF(AND(MONTH(E1036)='IN-NX'!$J$5,'IN-NX'!$D$7=(D1036&amp;"/"&amp;C1036)),"x","")</f>
        <v/>
      </c>
      <c r="C1036" s="173"/>
      <c r="D1036" s="173"/>
      <c r="E1036" s="70"/>
      <c r="F1036" s="62"/>
      <c r="G1036" s="19"/>
      <c r="H1036" s="178"/>
      <c r="I1036" s="57"/>
      <c r="J1036" s="15"/>
      <c r="K1036" s="15"/>
      <c r="L1036" s="15">
        <f t="shared" si="198"/>
        <v>0</v>
      </c>
      <c r="M1036" s="15"/>
      <c r="N1036" s="15">
        <f t="shared" si="199"/>
        <v>0</v>
      </c>
      <c r="O1036" s="15" t="str">
        <f>IF(AND(A1036='BANG KE NL'!$M$11,TH!C1036="NL",LEFT(D1036,1)="N"),"x","")</f>
        <v/>
      </c>
    </row>
    <row r="1037" spans="1:15" hidden="1">
      <c r="A1037" s="24" t="str">
        <f t="shared" si="197"/>
        <v/>
      </c>
      <c r="B1037" s="176" t="str">
        <f>IF(AND(MONTH(E1037)='IN-NX'!$J$5,'IN-NX'!$D$7=(D1037&amp;"/"&amp;C1037)),"x","")</f>
        <v/>
      </c>
      <c r="C1037" s="173"/>
      <c r="D1037" s="173"/>
      <c r="E1037" s="70"/>
      <c r="F1037" s="62"/>
      <c r="G1037" s="19"/>
      <c r="H1037" s="178"/>
      <c r="I1037" s="57"/>
      <c r="J1037" s="15"/>
      <c r="K1037" s="15"/>
      <c r="L1037" s="15">
        <f t="shared" si="198"/>
        <v>0</v>
      </c>
      <c r="M1037" s="15"/>
      <c r="N1037" s="15">
        <f t="shared" si="199"/>
        <v>0</v>
      </c>
      <c r="O1037" s="15" t="str">
        <f>IF(AND(A1037='BANG KE NL'!$M$11,TH!C1037="NL",LEFT(D1037,1)="N"),"x","")</f>
        <v/>
      </c>
    </row>
    <row r="1038" spans="1:15" hidden="1">
      <c r="A1038" s="24" t="str">
        <f t="shared" si="197"/>
        <v/>
      </c>
      <c r="B1038" s="176" t="str">
        <f>IF(AND(MONTH(E1038)='IN-NX'!$J$5,'IN-NX'!$D$7=(D1038&amp;"/"&amp;C1038)),"x","")</f>
        <v/>
      </c>
      <c r="C1038" s="173"/>
      <c r="D1038" s="173"/>
      <c r="E1038" s="70"/>
      <c r="F1038" s="62"/>
      <c r="G1038" s="19"/>
      <c r="H1038" s="178"/>
      <c r="I1038" s="57"/>
      <c r="J1038" s="15"/>
      <c r="K1038" s="15"/>
      <c r="L1038" s="15">
        <f t="shared" si="198"/>
        <v>0</v>
      </c>
      <c r="M1038" s="15"/>
      <c r="N1038" s="15">
        <f t="shared" si="199"/>
        <v>0</v>
      </c>
      <c r="O1038" s="15" t="str">
        <f>IF(AND(A1038='BANG KE NL'!$M$11,TH!C1038="NL",LEFT(D1038,1)="N"),"x","")</f>
        <v/>
      </c>
    </row>
    <row r="1039" spans="1:15" hidden="1">
      <c r="A1039" s="24" t="str">
        <f t="shared" si="197"/>
        <v/>
      </c>
      <c r="B1039" s="176" t="str">
        <f>IF(AND(MONTH(E1039)='IN-NX'!$J$5,'IN-NX'!$D$7=(D1039&amp;"/"&amp;C1039)),"x","")</f>
        <v/>
      </c>
      <c r="C1039" s="173"/>
      <c r="D1039" s="173"/>
      <c r="E1039" s="70"/>
      <c r="F1039" s="62"/>
      <c r="G1039" s="19"/>
      <c r="H1039" s="178"/>
      <c r="I1039" s="57"/>
      <c r="J1039" s="15"/>
      <c r="K1039" s="15"/>
      <c r="L1039" s="15">
        <f t="shared" si="198"/>
        <v>0</v>
      </c>
      <c r="M1039" s="15"/>
      <c r="N1039" s="15">
        <f t="shared" si="199"/>
        <v>0</v>
      </c>
      <c r="O1039" s="15" t="str">
        <f>IF(AND(A1039='BANG KE NL'!$M$11,TH!C1039="NL",LEFT(D1039,1)="N"),"x","")</f>
        <v/>
      </c>
    </row>
    <row r="1040" spans="1:15" hidden="1">
      <c r="A1040" s="24" t="str">
        <f t="shared" si="197"/>
        <v/>
      </c>
      <c r="B1040" s="176" t="str">
        <f>IF(AND(MONTH(E1040)='IN-NX'!$J$5,'IN-NX'!$D$7=(D1040&amp;"/"&amp;C1040)),"x","")</f>
        <v/>
      </c>
      <c r="C1040" s="173"/>
      <c r="D1040" s="173"/>
      <c r="E1040" s="70"/>
      <c r="F1040" s="62"/>
      <c r="G1040" s="19"/>
      <c r="H1040" s="178"/>
      <c r="I1040" s="57"/>
      <c r="J1040" s="15"/>
      <c r="K1040" s="15"/>
      <c r="L1040" s="15">
        <f t="shared" si="198"/>
        <v>0</v>
      </c>
      <c r="M1040" s="15"/>
      <c r="N1040" s="15">
        <f t="shared" si="199"/>
        <v>0</v>
      </c>
      <c r="O1040" s="15" t="str">
        <f>IF(AND(A1040='BANG KE NL'!$M$11,TH!C1040="NL",LEFT(D1040,1)="N"),"x","")</f>
        <v/>
      </c>
    </row>
    <row r="1041" spans="1:15" hidden="1">
      <c r="A1041" s="24" t="str">
        <f t="shared" si="197"/>
        <v/>
      </c>
      <c r="B1041" s="176" t="str">
        <f>IF(AND(MONTH(E1041)='IN-NX'!$J$5,'IN-NX'!$D$7=(D1041&amp;"/"&amp;C1041)),"x","")</f>
        <v/>
      </c>
      <c r="C1041" s="173"/>
      <c r="D1041" s="173"/>
      <c r="E1041" s="70"/>
      <c r="F1041" s="62"/>
      <c r="G1041" s="19"/>
      <c r="H1041" s="178"/>
      <c r="I1041" s="57"/>
      <c r="J1041" s="15"/>
      <c r="K1041" s="15"/>
      <c r="L1041" s="15">
        <f t="shared" si="198"/>
        <v>0</v>
      </c>
      <c r="M1041" s="15"/>
      <c r="N1041" s="15">
        <f t="shared" si="199"/>
        <v>0</v>
      </c>
      <c r="O1041" s="15" t="str">
        <f>IF(AND(A1041='BANG KE NL'!$M$11,TH!C1041="NL",LEFT(D1041,1)="N"),"x","")</f>
        <v/>
      </c>
    </row>
    <row r="1042" spans="1:15" hidden="1">
      <c r="A1042" s="24" t="str">
        <f t="shared" si="197"/>
        <v/>
      </c>
      <c r="B1042" s="176" t="str">
        <f>IF(AND(MONTH(E1042)='IN-NX'!$J$5,'IN-NX'!$D$7=(D1042&amp;"/"&amp;C1042)),"x","")</f>
        <v/>
      </c>
      <c r="C1042" s="173"/>
      <c r="D1042" s="173"/>
      <c r="E1042" s="70"/>
      <c r="F1042" s="62"/>
      <c r="G1042" s="19"/>
      <c r="H1042" s="178"/>
      <c r="I1042" s="57"/>
      <c r="J1042" s="15"/>
      <c r="K1042" s="15"/>
      <c r="L1042" s="15">
        <f t="shared" si="198"/>
        <v>0</v>
      </c>
      <c r="M1042" s="15"/>
      <c r="N1042" s="15">
        <f t="shared" si="199"/>
        <v>0</v>
      </c>
      <c r="O1042" s="15" t="str">
        <f>IF(AND(A1042='BANG KE NL'!$M$11,TH!C1042="NL",LEFT(D1042,1)="N"),"x","")</f>
        <v/>
      </c>
    </row>
    <row r="1043" spans="1:15" hidden="1">
      <c r="A1043" s="24" t="str">
        <f t="shared" si="197"/>
        <v/>
      </c>
      <c r="B1043" s="176" t="str">
        <f>IF(AND(MONTH(E1043)='IN-NX'!$J$5,'IN-NX'!$D$7=(D1043&amp;"/"&amp;C1043)),"x","")</f>
        <v/>
      </c>
      <c r="C1043" s="173"/>
      <c r="D1043" s="173"/>
      <c r="E1043" s="70"/>
      <c r="F1043" s="62"/>
      <c r="G1043" s="19"/>
      <c r="H1043" s="178"/>
      <c r="I1043" s="57"/>
      <c r="J1043" s="15"/>
      <c r="K1043" s="15"/>
      <c r="L1043" s="15">
        <f t="shared" si="198"/>
        <v>0</v>
      </c>
      <c r="M1043" s="15"/>
      <c r="N1043" s="15">
        <f t="shared" si="199"/>
        <v>0</v>
      </c>
      <c r="O1043" s="15" t="str">
        <f>IF(AND(A1043='BANG KE NL'!$M$11,TH!C1043="NL",LEFT(D1043,1)="N"),"x","")</f>
        <v/>
      </c>
    </row>
    <row r="1044" spans="1:15" hidden="1">
      <c r="A1044" s="24" t="str">
        <f t="shared" si="197"/>
        <v/>
      </c>
      <c r="B1044" s="176" t="str">
        <f>IF(AND(MONTH(E1044)='IN-NX'!$J$5,'IN-NX'!$D$7=(D1044&amp;"/"&amp;C1044)),"x","")</f>
        <v/>
      </c>
      <c r="C1044" s="173"/>
      <c r="D1044" s="173"/>
      <c r="E1044" s="70"/>
      <c r="F1044" s="62"/>
      <c r="G1044" s="19"/>
      <c r="H1044" s="178"/>
      <c r="I1044" s="57"/>
      <c r="J1044" s="15"/>
      <c r="K1044" s="15"/>
      <c r="L1044" s="15">
        <f t="shared" si="198"/>
        <v>0</v>
      </c>
      <c r="M1044" s="15"/>
      <c r="N1044" s="15">
        <f t="shared" si="199"/>
        <v>0</v>
      </c>
      <c r="O1044" s="15" t="str">
        <f>IF(AND(A1044='BANG KE NL'!$M$11,TH!C1044="NL",LEFT(D1044,1)="N"),"x","")</f>
        <v/>
      </c>
    </row>
    <row r="1045" spans="1:15" hidden="1">
      <c r="A1045" s="24" t="str">
        <f t="shared" si="197"/>
        <v/>
      </c>
      <c r="B1045" s="176" t="str">
        <f>IF(AND(MONTH(E1045)='IN-NX'!$J$5,'IN-NX'!$D$7=(D1045&amp;"/"&amp;C1045)),"x","")</f>
        <v/>
      </c>
      <c r="C1045" s="173"/>
      <c r="D1045" s="173"/>
      <c r="E1045" s="70"/>
      <c r="F1045" s="62"/>
      <c r="G1045" s="19"/>
      <c r="H1045" s="178"/>
      <c r="I1045" s="57"/>
      <c r="J1045" s="15"/>
      <c r="K1045" s="15"/>
      <c r="L1045" s="15">
        <f t="shared" si="198"/>
        <v>0</v>
      </c>
      <c r="M1045" s="15"/>
      <c r="N1045" s="15">
        <f t="shared" si="199"/>
        <v>0</v>
      </c>
      <c r="O1045" s="15" t="str">
        <f>IF(AND(A1045='BANG KE NL'!$M$11,TH!C1045="NL",LEFT(D1045,1)="N"),"x","")</f>
        <v/>
      </c>
    </row>
    <row r="1046" spans="1:15" hidden="1">
      <c r="A1046" s="24" t="str">
        <f t="shared" si="197"/>
        <v/>
      </c>
      <c r="B1046" s="176" t="str">
        <f>IF(AND(MONTH(E1046)='IN-NX'!$J$5,'IN-NX'!$D$7=(D1046&amp;"/"&amp;C1046)),"x","")</f>
        <v/>
      </c>
      <c r="C1046" s="173"/>
      <c r="D1046" s="173"/>
      <c r="E1046" s="70"/>
      <c r="F1046" s="62"/>
      <c r="G1046" s="19"/>
      <c r="H1046" s="178"/>
      <c r="I1046" s="57"/>
      <c r="J1046" s="15"/>
      <c r="K1046" s="15"/>
      <c r="L1046" s="15">
        <f t="shared" si="198"/>
        <v>0</v>
      </c>
      <c r="M1046" s="15"/>
      <c r="N1046" s="15">
        <f t="shared" si="199"/>
        <v>0</v>
      </c>
      <c r="O1046" s="15" t="str">
        <f>IF(AND(A1046='BANG KE NL'!$M$11,TH!C1046="NL",LEFT(D1046,1)="N"),"x","")</f>
        <v/>
      </c>
    </row>
    <row r="1047" spans="1:15" hidden="1">
      <c r="A1047" s="24" t="str">
        <f t="shared" si="197"/>
        <v/>
      </c>
      <c r="B1047" s="176" t="str">
        <f>IF(AND(MONTH(E1047)='IN-NX'!$J$5,'IN-NX'!$D$7=(D1047&amp;"/"&amp;C1047)),"x","")</f>
        <v/>
      </c>
      <c r="C1047" s="173"/>
      <c r="D1047" s="173"/>
      <c r="E1047" s="70"/>
      <c r="F1047" s="62"/>
      <c r="G1047" s="19"/>
      <c r="H1047" s="178"/>
      <c r="I1047" s="57"/>
      <c r="J1047" s="15"/>
      <c r="K1047" s="15"/>
      <c r="L1047" s="15">
        <f t="shared" si="198"/>
        <v>0</v>
      </c>
      <c r="M1047" s="15"/>
      <c r="N1047" s="15">
        <f t="shared" si="199"/>
        <v>0</v>
      </c>
      <c r="O1047" s="15" t="str">
        <f>IF(AND(A1047='BANG KE NL'!$M$11,TH!C1047="NL",LEFT(D1047,1)="N"),"x","")</f>
        <v/>
      </c>
    </row>
    <row r="1048" spans="1:15" hidden="1">
      <c r="A1048" s="24" t="str">
        <f t="shared" si="197"/>
        <v/>
      </c>
      <c r="B1048" s="176" t="str">
        <f>IF(AND(MONTH(E1048)='IN-NX'!$J$5,'IN-NX'!$D$7=(D1048&amp;"/"&amp;C1048)),"x","")</f>
        <v/>
      </c>
      <c r="C1048" s="173"/>
      <c r="D1048" s="173"/>
      <c r="E1048" s="70"/>
      <c r="F1048" s="62"/>
      <c r="G1048" s="19"/>
      <c r="H1048" s="178"/>
      <c r="I1048" s="57"/>
      <c r="J1048" s="15"/>
      <c r="K1048" s="15"/>
      <c r="L1048" s="15">
        <f t="shared" si="198"/>
        <v>0</v>
      </c>
      <c r="M1048" s="15"/>
      <c r="N1048" s="15">
        <f t="shared" si="199"/>
        <v>0</v>
      </c>
      <c r="O1048" s="15" t="str">
        <f>IF(AND(A1048='BANG KE NL'!$M$11,TH!C1048="NL",LEFT(D1048,1)="N"),"x","")</f>
        <v/>
      </c>
    </row>
    <row r="1049" spans="1:15" hidden="1">
      <c r="A1049" s="24" t="str">
        <f t="shared" si="197"/>
        <v/>
      </c>
      <c r="B1049" s="176" t="str">
        <f>IF(AND(MONTH(E1049)='IN-NX'!$J$5,'IN-NX'!$D$7=(D1049&amp;"/"&amp;C1049)),"x","")</f>
        <v/>
      </c>
      <c r="C1049" s="173"/>
      <c r="D1049" s="173"/>
      <c r="E1049" s="70"/>
      <c r="F1049" s="62"/>
      <c r="G1049" s="19"/>
      <c r="H1049" s="178"/>
      <c r="I1049" s="57"/>
      <c r="J1049" s="15"/>
      <c r="K1049" s="15"/>
      <c r="L1049" s="15">
        <f t="shared" si="198"/>
        <v>0</v>
      </c>
      <c r="M1049" s="15"/>
      <c r="N1049" s="15">
        <f t="shared" si="199"/>
        <v>0</v>
      </c>
      <c r="O1049" s="15" t="str">
        <f>IF(AND(A1049='BANG KE NL'!$M$11,TH!C1049="NL",LEFT(D1049,1)="N"),"x","")</f>
        <v/>
      </c>
    </row>
    <row r="1050" spans="1:15" hidden="1">
      <c r="A1050" s="24" t="str">
        <f t="shared" si="197"/>
        <v/>
      </c>
      <c r="B1050" s="176" t="str">
        <f>IF(AND(MONTH(E1050)='IN-NX'!$J$5,'IN-NX'!$D$7=(D1050&amp;"/"&amp;C1050)),"x","")</f>
        <v/>
      </c>
      <c r="C1050" s="173"/>
      <c r="D1050" s="173"/>
      <c r="E1050" s="70"/>
      <c r="F1050" s="62"/>
      <c r="G1050" s="19"/>
      <c r="H1050" s="178"/>
      <c r="I1050" s="57"/>
      <c r="J1050" s="15"/>
      <c r="K1050" s="15"/>
      <c r="L1050" s="15">
        <f t="shared" si="198"/>
        <v>0</v>
      </c>
      <c r="M1050" s="15"/>
      <c r="N1050" s="15">
        <f t="shared" si="199"/>
        <v>0</v>
      </c>
      <c r="O1050" s="15" t="str">
        <f>IF(AND(A1050='BANG KE NL'!$M$11,TH!C1050="NL",LEFT(D1050,1)="N"),"x","")</f>
        <v/>
      </c>
    </row>
    <row r="1051" spans="1:15" hidden="1">
      <c r="A1051" s="24" t="str">
        <f t="shared" si="197"/>
        <v/>
      </c>
      <c r="B1051" s="176" t="str">
        <f>IF(AND(MONTH(E1051)='IN-NX'!$J$5,'IN-NX'!$D$7=(D1051&amp;"/"&amp;C1051)),"x","")</f>
        <v/>
      </c>
      <c r="C1051" s="173"/>
      <c r="D1051" s="173"/>
      <c r="E1051" s="70"/>
      <c r="F1051" s="62"/>
      <c r="G1051" s="19"/>
      <c r="H1051" s="178"/>
      <c r="I1051" s="57"/>
      <c r="J1051" s="15"/>
      <c r="K1051" s="15"/>
      <c r="L1051" s="15">
        <f t="shared" si="198"/>
        <v>0</v>
      </c>
      <c r="M1051" s="15"/>
      <c r="N1051" s="15">
        <f t="shared" si="199"/>
        <v>0</v>
      </c>
      <c r="O1051" s="15" t="str">
        <f>IF(AND(A1051='BANG KE NL'!$M$11,TH!C1051="NL",LEFT(D1051,1)="N"),"x","")</f>
        <v/>
      </c>
    </row>
    <row r="1052" spans="1:15" hidden="1">
      <c r="A1052" s="24" t="str">
        <f t="shared" si="197"/>
        <v/>
      </c>
      <c r="B1052" s="176" t="str">
        <f>IF(AND(MONTH(E1052)='IN-NX'!$J$5,'IN-NX'!$D$7=(D1052&amp;"/"&amp;C1052)),"x","")</f>
        <v/>
      </c>
      <c r="C1052" s="173"/>
      <c r="D1052" s="173"/>
      <c r="E1052" s="70"/>
      <c r="F1052" s="62"/>
      <c r="G1052" s="19"/>
      <c r="H1052" s="178"/>
      <c r="I1052" s="57"/>
      <c r="J1052" s="15"/>
      <c r="K1052" s="15"/>
      <c r="L1052" s="15">
        <f t="shared" si="198"/>
        <v>0</v>
      </c>
      <c r="M1052" s="15"/>
      <c r="N1052" s="15">
        <f t="shared" si="199"/>
        <v>0</v>
      </c>
      <c r="O1052" s="15" t="str">
        <f>IF(AND(A1052='BANG KE NL'!$M$11,TH!C1052="NL",LEFT(D1052,1)="N"),"x","")</f>
        <v/>
      </c>
    </row>
    <row r="1053" spans="1:15" hidden="1">
      <c r="A1053" s="24" t="str">
        <f t="shared" si="197"/>
        <v/>
      </c>
      <c r="B1053" s="176" t="str">
        <f>IF(AND(MONTH(E1053)='IN-NX'!$J$5,'IN-NX'!$D$7=(D1053&amp;"/"&amp;C1053)),"x","")</f>
        <v/>
      </c>
      <c r="C1053" s="173"/>
      <c r="D1053" s="173"/>
      <c r="E1053" s="70"/>
      <c r="F1053" s="62"/>
      <c r="G1053" s="19"/>
      <c r="H1053" s="178"/>
      <c r="I1053" s="57"/>
      <c r="J1053" s="15"/>
      <c r="K1053" s="15"/>
      <c r="L1053" s="15">
        <f t="shared" si="198"/>
        <v>0</v>
      </c>
      <c r="M1053" s="15"/>
      <c r="N1053" s="15">
        <f t="shared" si="199"/>
        <v>0</v>
      </c>
      <c r="O1053" s="15" t="str">
        <f>IF(AND(A1053='BANG KE NL'!$M$11,TH!C1053="NL",LEFT(D1053,1)="N"),"x","")</f>
        <v/>
      </c>
    </row>
    <row r="1054" spans="1:15" hidden="1">
      <c r="A1054" s="24" t="str">
        <f t="shared" si="197"/>
        <v/>
      </c>
      <c r="B1054" s="176" t="str">
        <f>IF(AND(MONTH(E1054)='IN-NX'!$J$5,'IN-NX'!$D$7=(D1054&amp;"/"&amp;C1054)),"x","")</f>
        <v/>
      </c>
      <c r="C1054" s="173"/>
      <c r="D1054" s="173"/>
      <c r="E1054" s="70"/>
      <c r="F1054" s="62"/>
      <c r="G1054" s="19"/>
      <c r="H1054" s="178"/>
      <c r="I1054" s="57"/>
      <c r="J1054" s="15"/>
      <c r="K1054" s="15"/>
      <c r="L1054" s="15">
        <f t="shared" si="198"/>
        <v>0</v>
      </c>
      <c r="M1054" s="15"/>
      <c r="N1054" s="15">
        <f t="shared" si="199"/>
        <v>0</v>
      </c>
      <c r="O1054" s="15" t="str">
        <f>IF(AND(A1054='BANG KE NL'!$M$11,TH!C1054="NL",LEFT(D1054,1)="N"),"x","")</f>
        <v/>
      </c>
    </row>
    <row r="1055" spans="1:15" hidden="1">
      <c r="A1055" s="24" t="str">
        <f t="shared" si="197"/>
        <v/>
      </c>
      <c r="B1055" s="176" t="str">
        <f>IF(AND(MONTH(E1055)='IN-NX'!$J$5,'IN-NX'!$D$7=(D1055&amp;"/"&amp;C1055)),"x","")</f>
        <v/>
      </c>
      <c r="C1055" s="173"/>
      <c r="D1055" s="173"/>
      <c r="E1055" s="70"/>
      <c r="F1055" s="62"/>
      <c r="G1055" s="19"/>
      <c r="H1055" s="178"/>
      <c r="I1055" s="57"/>
      <c r="J1055" s="15"/>
      <c r="K1055" s="15"/>
      <c r="L1055" s="15">
        <f t="shared" si="198"/>
        <v>0</v>
      </c>
      <c r="M1055" s="15"/>
      <c r="N1055" s="15">
        <f t="shared" si="199"/>
        <v>0</v>
      </c>
      <c r="O1055" s="15" t="str">
        <f>IF(AND(A1055='BANG KE NL'!$M$11,TH!C1055="NL",LEFT(D1055,1)="N"),"x","")</f>
        <v/>
      </c>
    </row>
    <row r="1056" spans="1:15" hidden="1">
      <c r="A1056" s="24" t="str">
        <f t="shared" si="197"/>
        <v/>
      </c>
      <c r="B1056" s="176" t="str">
        <f>IF(AND(MONTH(E1056)='IN-NX'!$J$5,'IN-NX'!$D$7=(D1056&amp;"/"&amp;C1056)),"x","")</f>
        <v/>
      </c>
      <c r="C1056" s="173"/>
      <c r="D1056" s="173"/>
      <c r="E1056" s="70"/>
      <c r="F1056" s="62"/>
      <c r="G1056" s="19"/>
      <c r="H1056" s="178"/>
      <c r="I1056" s="57"/>
      <c r="J1056" s="15"/>
      <c r="K1056" s="15"/>
      <c r="L1056" s="15">
        <f t="shared" si="198"/>
        <v>0</v>
      </c>
      <c r="M1056" s="15"/>
      <c r="N1056" s="15">
        <f t="shared" si="199"/>
        <v>0</v>
      </c>
      <c r="O1056" s="15" t="str">
        <f>IF(AND(A1056='BANG KE NL'!$M$11,TH!C1056="NL",LEFT(D1056,1)="N"),"x","")</f>
        <v/>
      </c>
    </row>
    <row r="1057" spans="1:15" hidden="1">
      <c r="A1057" s="24" t="str">
        <f t="shared" si="197"/>
        <v/>
      </c>
      <c r="B1057" s="176" t="str">
        <f>IF(AND(MONTH(E1057)='IN-NX'!$J$5,'IN-NX'!$D$7=(D1057&amp;"/"&amp;C1057)),"x","")</f>
        <v/>
      </c>
      <c r="C1057" s="173"/>
      <c r="D1057" s="173"/>
      <c r="E1057" s="70"/>
      <c r="F1057" s="62"/>
      <c r="G1057" s="19"/>
      <c r="H1057" s="178"/>
      <c r="I1057" s="57"/>
      <c r="J1057" s="15"/>
      <c r="K1057" s="15"/>
      <c r="L1057" s="15">
        <f t="shared" si="198"/>
        <v>0</v>
      </c>
      <c r="M1057" s="15"/>
      <c r="N1057" s="15">
        <f t="shared" si="199"/>
        <v>0</v>
      </c>
      <c r="O1057" s="15" t="str">
        <f>IF(AND(A1057='BANG KE NL'!$M$11,TH!C1057="NL",LEFT(D1057,1)="N"),"x","")</f>
        <v/>
      </c>
    </row>
    <row r="1058" spans="1:15" hidden="1">
      <c r="A1058" s="24" t="str">
        <f t="shared" si="197"/>
        <v/>
      </c>
      <c r="B1058" s="176" t="str">
        <f>IF(AND(MONTH(E1058)='IN-NX'!$J$5,'IN-NX'!$D$7=(D1058&amp;"/"&amp;C1058)),"x","")</f>
        <v/>
      </c>
      <c r="C1058" s="173"/>
      <c r="D1058" s="173"/>
      <c r="E1058" s="70"/>
      <c r="F1058" s="62"/>
      <c r="G1058" s="19"/>
      <c r="H1058" s="178"/>
      <c r="I1058" s="57"/>
      <c r="J1058" s="15"/>
      <c r="K1058" s="15"/>
      <c r="L1058" s="15">
        <f t="shared" si="198"/>
        <v>0</v>
      </c>
      <c r="M1058" s="15"/>
      <c r="N1058" s="15">
        <f t="shared" si="199"/>
        <v>0</v>
      </c>
      <c r="O1058" s="15" t="str">
        <f>IF(AND(A1058='BANG KE NL'!$M$11,TH!C1058="NL",LEFT(D1058,1)="N"),"x","")</f>
        <v/>
      </c>
    </row>
    <row r="1059" spans="1:15" hidden="1">
      <c r="A1059" s="24" t="str">
        <f t="shared" si="197"/>
        <v/>
      </c>
      <c r="B1059" s="176" t="str">
        <f>IF(AND(MONTH(E1059)='IN-NX'!$J$5,'IN-NX'!$D$7=(D1059&amp;"/"&amp;C1059)),"x","")</f>
        <v/>
      </c>
      <c r="C1059" s="173"/>
      <c r="D1059" s="173"/>
      <c r="E1059" s="70"/>
      <c r="F1059" s="62"/>
      <c r="G1059" s="19"/>
      <c r="H1059" s="178"/>
      <c r="I1059" s="57"/>
      <c r="J1059" s="15"/>
      <c r="K1059" s="15"/>
      <c r="L1059" s="15">
        <f t="shared" si="198"/>
        <v>0</v>
      </c>
      <c r="M1059" s="15"/>
      <c r="N1059" s="15">
        <f t="shared" si="199"/>
        <v>0</v>
      </c>
      <c r="O1059" s="15" t="str">
        <f>IF(AND(A1059='BANG KE NL'!$M$11,TH!C1059="NL",LEFT(D1059,1)="N"),"x","")</f>
        <v/>
      </c>
    </row>
    <row r="1060" spans="1:15" hidden="1">
      <c r="A1060" s="24" t="str">
        <f t="shared" si="197"/>
        <v/>
      </c>
      <c r="B1060" s="176" t="str">
        <f>IF(AND(MONTH(E1060)='IN-NX'!$J$5,'IN-NX'!$D$7=(D1060&amp;"/"&amp;C1060)),"x","")</f>
        <v/>
      </c>
      <c r="C1060" s="173"/>
      <c r="D1060" s="173"/>
      <c r="E1060" s="70"/>
      <c r="F1060" s="62"/>
      <c r="G1060" s="19"/>
      <c r="H1060" s="178"/>
      <c r="I1060" s="57"/>
      <c r="J1060" s="15"/>
      <c r="K1060" s="15"/>
      <c r="L1060" s="15">
        <f t="shared" si="198"/>
        <v>0</v>
      </c>
      <c r="M1060" s="15"/>
      <c r="N1060" s="15">
        <f t="shared" si="199"/>
        <v>0</v>
      </c>
      <c r="O1060" s="15" t="str">
        <f>IF(AND(A1060='BANG KE NL'!$M$11,TH!C1060="NL",LEFT(D1060,1)="N"),"x","")</f>
        <v/>
      </c>
    </row>
    <row r="1061" spans="1:15" hidden="1">
      <c r="A1061" s="24" t="str">
        <f t="shared" ref="A1061:A1124" si="200">IF(E1061&lt;&gt;"",MONTH(E1061),"")</f>
        <v/>
      </c>
      <c r="B1061" s="176" t="str">
        <f>IF(AND(MONTH(E1061)='IN-NX'!$J$5,'IN-NX'!$D$7=(D1061&amp;"/"&amp;C1061)),"x","")</f>
        <v/>
      </c>
      <c r="C1061" s="173"/>
      <c r="D1061" s="173"/>
      <c r="E1061" s="70"/>
      <c r="F1061" s="62"/>
      <c r="G1061" s="19"/>
      <c r="H1061" s="178"/>
      <c r="I1061" s="57"/>
      <c r="J1061" s="15"/>
      <c r="K1061" s="15"/>
      <c r="L1061" s="15">
        <f t="shared" si="198"/>
        <v>0</v>
      </c>
      <c r="M1061" s="15"/>
      <c r="N1061" s="15">
        <f t="shared" si="199"/>
        <v>0</v>
      </c>
      <c r="O1061" s="15" t="str">
        <f>IF(AND(A1061='BANG KE NL'!$M$11,TH!C1061="NL",LEFT(D1061,1)="N"),"x","")</f>
        <v/>
      </c>
    </row>
    <row r="1062" spans="1:15" hidden="1">
      <c r="A1062" s="24" t="str">
        <f t="shared" si="200"/>
        <v/>
      </c>
      <c r="B1062" s="176" t="str">
        <f>IF(AND(MONTH(E1062)='IN-NX'!$J$5,'IN-NX'!$D$7=(D1062&amp;"/"&amp;C1062)),"x","")</f>
        <v/>
      </c>
      <c r="C1062" s="173"/>
      <c r="D1062" s="173"/>
      <c r="E1062" s="70"/>
      <c r="F1062" s="62"/>
      <c r="G1062" s="19"/>
      <c r="H1062" s="178"/>
      <c r="I1062" s="57"/>
      <c r="J1062" s="15"/>
      <c r="K1062" s="15"/>
      <c r="L1062" s="15">
        <f t="shared" si="198"/>
        <v>0</v>
      </c>
      <c r="M1062" s="15"/>
      <c r="N1062" s="15">
        <f t="shared" si="199"/>
        <v>0</v>
      </c>
      <c r="O1062" s="15" t="str">
        <f>IF(AND(A1062='BANG KE NL'!$M$11,TH!C1062="NL",LEFT(D1062,1)="N"),"x","")</f>
        <v/>
      </c>
    </row>
    <row r="1063" spans="1:15" hidden="1">
      <c r="A1063" s="24" t="str">
        <f t="shared" si="200"/>
        <v/>
      </c>
      <c r="B1063" s="176" t="str">
        <f>IF(AND(MONTH(E1063)='IN-NX'!$J$5,'IN-NX'!$D$7=(D1063&amp;"/"&amp;C1063)),"x","")</f>
        <v/>
      </c>
      <c r="C1063" s="173"/>
      <c r="D1063" s="173"/>
      <c r="E1063" s="70"/>
      <c r="F1063" s="62"/>
      <c r="G1063" s="19"/>
      <c r="H1063" s="178"/>
      <c r="I1063" s="57"/>
      <c r="J1063" s="15"/>
      <c r="K1063" s="15"/>
      <c r="L1063" s="15">
        <f t="shared" si="198"/>
        <v>0</v>
      </c>
      <c r="M1063" s="15"/>
      <c r="N1063" s="15">
        <f t="shared" si="199"/>
        <v>0</v>
      </c>
      <c r="O1063" s="15" t="str">
        <f>IF(AND(A1063='BANG KE NL'!$M$11,TH!C1063="NL",LEFT(D1063,1)="N"),"x","")</f>
        <v/>
      </c>
    </row>
    <row r="1064" spans="1:15" hidden="1">
      <c r="A1064" s="24" t="str">
        <f t="shared" si="200"/>
        <v/>
      </c>
      <c r="B1064" s="176" t="str">
        <f>IF(AND(MONTH(E1064)='IN-NX'!$J$5,'IN-NX'!$D$7=(D1064&amp;"/"&amp;C1064)),"x","")</f>
        <v/>
      </c>
      <c r="C1064" s="173"/>
      <c r="D1064" s="173"/>
      <c r="E1064" s="70"/>
      <c r="F1064" s="62"/>
      <c r="G1064" s="19"/>
      <c r="H1064" s="178"/>
      <c r="I1064" s="57"/>
      <c r="J1064" s="15"/>
      <c r="K1064" s="15"/>
      <c r="L1064" s="15">
        <f t="shared" si="198"/>
        <v>0</v>
      </c>
      <c r="M1064" s="15"/>
      <c r="N1064" s="15">
        <f t="shared" si="199"/>
        <v>0</v>
      </c>
      <c r="O1064" s="15" t="str">
        <f>IF(AND(A1064='BANG KE NL'!$M$11,TH!C1064="NL",LEFT(D1064,1)="N"),"x","")</f>
        <v/>
      </c>
    </row>
    <row r="1065" spans="1:15" hidden="1">
      <c r="A1065" s="24" t="str">
        <f t="shared" si="200"/>
        <v/>
      </c>
      <c r="B1065" s="176" t="str">
        <f>IF(AND(MONTH(E1065)='IN-NX'!$J$5,'IN-NX'!$D$7=(D1065&amp;"/"&amp;C1065)),"x","")</f>
        <v/>
      </c>
      <c r="C1065" s="173"/>
      <c r="D1065" s="173"/>
      <c r="E1065" s="70"/>
      <c r="F1065" s="62"/>
      <c r="G1065" s="19"/>
      <c r="H1065" s="178"/>
      <c r="I1065" s="57"/>
      <c r="J1065" s="15"/>
      <c r="K1065" s="15"/>
      <c r="L1065" s="15">
        <f t="shared" si="198"/>
        <v>0</v>
      </c>
      <c r="M1065" s="15"/>
      <c r="N1065" s="15">
        <f t="shared" si="199"/>
        <v>0</v>
      </c>
      <c r="O1065" s="15" t="str">
        <f>IF(AND(A1065='BANG KE NL'!$M$11,TH!C1065="NL",LEFT(D1065,1)="N"),"x","")</f>
        <v/>
      </c>
    </row>
    <row r="1066" spans="1:15" hidden="1">
      <c r="A1066" s="24" t="str">
        <f t="shared" si="200"/>
        <v/>
      </c>
      <c r="B1066" s="176" t="str">
        <f>IF(AND(MONTH(E1066)='IN-NX'!$J$5,'IN-NX'!$D$7=(D1066&amp;"/"&amp;C1066)),"x","")</f>
        <v/>
      </c>
      <c r="C1066" s="173"/>
      <c r="D1066" s="173"/>
      <c r="E1066" s="70"/>
      <c r="F1066" s="62"/>
      <c r="G1066" s="19"/>
      <c r="H1066" s="178"/>
      <c r="I1066" s="57"/>
      <c r="J1066" s="15"/>
      <c r="K1066" s="15"/>
      <c r="L1066" s="15">
        <f t="shared" si="198"/>
        <v>0</v>
      </c>
      <c r="M1066" s="15"/>
      <c r="N1066" s="15">
        <f t="shared" si="199"/>
        <v>0</v>
      </c>
      <c r="O1066" s="15" t="str">
        <f>IF(AND(A1066='BANG KE NL'!$M$11,TH!C1066="NL",LEFT(D1066,1)="N"),"x","")</f>
        <v/>
      </c>
    </row>
    <row r="1067" spans="1:15" hidden="1">
      <c r="A1067" s="24" t="str">
        <f t="shared" si="200"/>
        <v/>
      </c>
      <c r="B1067" s="176" t="str">
        <f>IF(AND(MONTH(E1067)='IN-NX'!$J$5,'IN-NX'!$D$7=(D1067&amp;"/"&amp;C1067)),"x","")</f>
        <v/>
      </c>
      <c r="C1067" s="173"/>
      <c r="D1067" s="173"/>
      <c r="E1067" s="70"/>
      <c r="F1067" s="62"/>
      <c r="G1067" s="19"/>
      <c r="H1067" s="178"/>
      <c r="I1067" s="57"/>
      <c r="J1067" s="15"/>
      <c r="K1067" s="15"/>
      <c r="L1067" s="15">
        <f t="shared" si="198"/>
        <v>0</v>
      </c>
      <c r="M1067" s="15"/>
      <c r="N1067" s="15">
        <f t="shared" si="199"/>
        <v>0</v>
      </c>
      <c r="O1067" s="15" t="str">
        <f>IF(AND(A1067='BANG KE NL'!$M$11,TH!C1067="NL",LEFT(D1067,1)="N"),"x","")</f>
        <v/>
      </c>
    </row>
    <row r="1068" spans="1:15" hidden="1">
      <c r="A1068" s="24" t="str">
        <f t="shared" si="200"/>
        <v/>
      </c>
      <c r="B1068" s="176" t="str">
        <f>IF(AND(MONTH(E1068)='IN-NX'!$J$5,'IN-NX'!$D$7=(D1068&amp;"/"&amp;C1068)),"x","")</f>
        <v/>
      </c>
      <c r="C1068" s="173"/>
      <c r="D1068" s="173"/>
      <c r="E1068" s="70"/>
      <c r="F1068" s="62"/>
      <c r="G1068" s="19"/>
      <c r="H1068" s="178"/>
      <c r="I1068" s="57"/>
      <c r="J1068" s="15"/>
      <c r="K1068" s="15"/>
      <c r="L1068" s="15">
        <f t="shared" si="198"/>
        <v>0</v>
      </c>
      <c r="M1068" s="15"/>
      <c r="N1068" s="15">
        <f t="shared" si="199"/>
        <v>0</v>
      </c>
      <c r="O1068" s="15" t="str">
        <f>IF(AND(A1068='BANG KE NL'!$M$11,TH!C1068="NL",LEFT(D1068,1)="N"),"x","")</f>
        <v/>
      </c>
    </row>
    <row r="1069" spans="1:15" hidden="1">
      <c r="A1069" s="24" t="str">
        <f t="shared" si="200"/>
        <v/>
      </c>
      <c r="B1069" s="176" t="str">
        <f>IF(AND(MONTH(E1069)='IN-NX'!$J$5,'IN-NX'!$D$7=(D1069&amp;"/"&amp;C1069)),"x","")</f>
        <v/>
      </c>
      <c r="C1069" s="173"/>
      <c r="D1069" s="173"/>
      <c r="E1069" s="70"/>
      <c r="F1069" s="62"/>
      <c r="G1069" s="19"/>
      <c r="H1069" s="178"/>
      <c r="I1069" s="57"/>
      <c r="J1069" s="15"/>
      <c r="K1069" s="15"/>
      <c r="L1069" s="15">
        <f t="shared" ref="L1069:L1132" si="201">ROUND(J1069*K1069,0)</f>
        <v>0</v>
      </c>
      <c r="M1069" s="15"/>
      <c r="N1069" s="15">
        <f t="shared" ref="N1069:N1132" si="202">ROUND(J1069*M1069,0)</f>
        <v>0</v>
      </c>
      <c r="O1069" s="15" t="str">
        <f>IF(AND(A1069='BANG KE NL'!$M$11,TH!C1069="NL",LEFT(D1069,1)="N"),"x","")</f>
        <v/>
      </c>
    </row>
    <row r="1070" spans="1:15" hidden="1">
      <c r="A1070" s="24" t="str">
        <f t="shared" si="200"/>
        <v/>
      </c>
      <c r="B1070" s="176" t="str">
        <f>IF(AND(MONTH(E1070)='IN-NX'!$J$5,'IN-NX'!$D$7=(D1070&amp;"/"&amp;C1070)),"x","")</f>
        <v/>
      </c>
      <c r="C1070" s="173"/>
      <c r="D1070" s="173"/>
      <c r="E1070" s="70"/>
      <c r="F1070" s="62"/>
      <c r="G1070" s="19"/>
      <c r="H1070" s="178"/>
      <c r="I1070" s="57"/>
      <c r="J1070" s="15"/>
      <c r="K1070" s="15"/>
      <c r="L1070" s="15">
        <f t="shared" si="201"/>
        <v>0</v>
      </c>
      <c r="M1070" s="15"/>
      <c r="N1070" s="15">
        <f t="shared" si="202"/>
        <v>0</v>
      </c>
      <c r="O1070" s="15" t="str">
        <f>IF(AND(A1070='BANG KE NL'!$M$11,TH!C1070="NL",LEFT(D1070,1)="N"),"x","")</f>
        <v/>
      </c>
    </row>
    <row r="1071" spans="1:15" hidden="1">
      <c r="A1071" s="24" t="str">
        <f t="shared" si="200"/>
        <v/>
      </c>
      <c r="B1071" s="176" t="str">
        <f>IF(AND(MONTH(E1071)='IN-NX'!$J$5,'IN-NX'!$D$7=(D1071&amp;"/"&amp;C1071)),"x","")</f>
        <v/>
      </c>
      <c r="C1071" s="173"/>
      <c r="D1071" s="173"/>
      <c r="E1071" s="70"/>
      <c r="F1071" s="62"/>
      <c r="G1071" s="19"/>
      <c r="H1071" s="178"/>
      <c r="I1071" s="57"/>
      <c r="J1071" s="15"/>
      <c r="K1071" s="15"/>
      <c r="L1071" s="15">
        <f t="shared" si="201"/>
        <v>0</v>
      </c>
      <c r="M1071" s="15"/>
      <c r="N1071" s="15">
        <f t="shared" si="202"/>
        <v>0</v>
      </c>
      <c r="O1071" s="15" t="str">
        <f>IF(AND(A1071='BANG KE NL'!$M$11,TH!C1071="NL",LEFT(D1071,1)="N"),"x","")</f>
        <v/>
      </c>
    </row>
    <row r="1072" spans="1:15" hidden="1">
      <c r="A1072" s="24" t="str">
        <f t="shared" si="200"/>
        <v/>
      </c>
      <c r="B1072" s="176" t="str">
        <f>IF(AND(MONTH(E1072)='IN-NX'!$J$5,'IN-NX'!$D$7=(D1072&amp;"/"&amp;C1072)),"x","")</f>
        <v/>
      </c>
      <c r="C1072" s="173"/>
      <c r="D1072" s="173"/>
      <c r="E1072" s="70"/>
      <c r="F1072" s="62"/>
      <c r="G1072" s="19"/>
      <c r="H1072" s="178"/>
      <c r="I1072" s="57"/>
      <c r="J1072" s="15"/>
      <c r="K1072" s="15"/>
      <c r="L1072" s="15">
        <f t="shared" si="201"/>
        <v>0</v>
      </c>
      <c r="M1072" s="15"/>
      <c r="N1072" s="15">
        <f t="shared" si="202"/>
        <v>0</v>
      </c>
      <c r="O1072" s="15" t="str">
        <f>IF(AND(A1072='BANG KE NL'!$M$11,TH!C1072="NL",LEFT(D1072,1)="N"),"x","")</f>
        <v/>
      </c>
    </row>
    <row r="1073" spans="1:15" hidden="1">
      <c r="A1073" s="24" t="str">
        <f t="shared" si="200"/>
        <v/>
      </c>
      <c r="B1073" s="176" t="str">
        <f>IF(AND(MONTH(E1073)='IN-NX'!$J$5,'IN-NX'!$D$7=(D1073&amp;"/"&amp;C1073)),"x","")</f>
        <v/>
      </c>
      <c r="C1073" s="173"/>
      <c r="D1073" s="173"/>
      <c r="E1073" s="70"/>
      <c r="F1073" s="62"/>
      <c r="G1073" s="19"/>
      <c r="H1073" s="178"/>
      <c r="I1073" s="57"/>
      <c r="J1073" s="15"/>
      <c r="K1073" s="15"/>
      <c r="L1073" s="15">
        <f t="shared" si="201"/>
        <v>0</v>
      </c>
      <c r="M1073" s="15"/>
      <c r="N1073" s="15">
        <f t="shared" si="202"/>
        <v>0</v>
      </c>
      <c r="O1073" s="15" t="str">
        <f>IF(AND(A1073='BANG KE NL'!$M$11,TH!C1073="NL",LEFT(D1073,1)="N"),"x","")</f>
        <v/>
      </c>
    </row>
    <row r="1074" spans="1:15" hidden="1">
      <c r="A1074" s="24" t="str">
        <f t="shared" si="200"/>
        <v/>
      </c>
      <c r="B1074" s="176" t="str">
        <f>IF(AND(MONTH(E1074)='IN-NX'!$J$5,'IN-NX'!$D$7=(D1074&amp;"/"&amp;C1074)),"x","")</f>
        <v/>
      </c>
      <c r="C1074" s="173"/>
      <c r="D1074" s="173"/>
      <c r="E1074" s="70"/>
      <c r="F1074" s="62"/>
      <c r="G1074" s="19"/>
      <c r="H1074" s="178"/>
      <c r="I1074" s="57"/>
      <c r="J1074" s="15"/>
      <c r="K1074" s="15"/>
      <c r="L1074" s="15">
        <f t="shared" si="201"/>
        <v>0</v>
      </c>
      <c r="M1074" s="15"/>
      <c r="N1074" s="15">
        <f t="shared" si="202"/>
        <v>0</v>
      </c>
      <c r="O1074" s="15" t="str">
        <f>IF(AND(A1074='BANG KE NL'!$M$11,TH!C1074="NL",LEFT(D1074,1)="N"),"x","")</f>
        <v/>
      </c>
    </row>
    <row r="1075" spans="1:15" hidden="1">
      <c r="A1075" s="24" t="str">
        <f t="shared" si="200"/>
        <v/>
      </c>
      <c r="B1075" s="176" t="str">
        <f>IF(AND(MONTH(E1075)='IN-NX'!$J$5,'IN-NX'!$D$7=(D1075&amp;"/"&amp;C1075)),"x","")</f>
        <v/>
      </c>
      <c r="C1075" s="173"/>
      <c r="D1075" s="173"/>
      <c r="E1075" s="70"/>
      <c r="F1075" s="62"/>
      <c r="G1075" s="19"/>
      <c r="H1075" s="178"/>
      <c r="I1075" s="57"/>
      <c r="J1075" s="15"/>
      <c r="K1075" s="15"/>
      <c r="L1075" s="15">
        <f t="shared" si="201"/>
        <v>0</v>
      </c>
      <c r="M1075" s="15"/>
      <c r="N1075" s="15">
        <f t="shared" si="202"/>
        <v>0</v>
      </c>
      <c r="O1075" s="15" t="str">
        <f>IF(AND(A1075='BANG KE NL'!$M$11,TH!C1075="NL",LEFT(D1075,1)="N"),"x","")</f>
        <v/>
      </c>
    </row>
    <row r="1076" spans="1:15" hidden="1">
      <c r="A1076" s="24" t="str">
        <f t="shared" si="200"/>
        <v/>
      </c>
      <c r="B1076" s="176" t="str">
        <f>IF(AND(MONTH(E1076)='IN-NX'!$J$5,'IN-NX'!$D$7=(D1076&amp;"/"&amp;C1076)),"x","")</f>
        <v/>
      </c>
      <c r="C1076" s="173"/>
      <c r="D1076" s="173"/>
      <c r="E1076" s="70"/>
      <c r="F1076" s="62"/>
      <c r="G1076" s="19"/>
      <c r="H1076" s="178"/>
      <c r="I1076" s="57"/>
      <c r="J1076" s="15"/>
      <c r="K1076" s="15"/>
      <c r="L1076" s="15">
        <f t="shared" si="201"/>
        <v>0</v>
      </c>
      <c r="M1076" s="15"/>
      <c r="N1076" s="15">
        <f t="shared" si="202"/>
        <v>0</v>
      </c>
      <c r="O1076" s="15" t="str">
        <f>IF(AND(A1076='BANG KE NL'!$M$11,TH!C1076="NL",LEFT(D1076,1)="N"),"x","")</f>
        <v/>
      </c>
    </row>
    <row r="1077" spans="1:15" hidden="1">
      <c r="A1077" s="24" t="str">
        <f t="shared" si="200"/>
        <v/>
      </c>
      <c r="B1077" s="176" t="str">
        <f>IF(AND(MONTH(E1077)='IN-NX'!$J$5,'IN-NX'!$D$7=(D1077&amp;"/"&amp;C1077)),"x","")</f>
        <v/>
      </c>
      <c r="C1077" s="173"/>
      <c r="D1077" s="173"/>
      <c r="E1077" s="70"/>
      <c r="F1077" s="62"/>
      <c r="G1077" s="19"/>
      <c r="H1077" s="178"/>
      <c r="I1077" s="57"/>
      <c r="J1077" s="15"/>
      <c r="K1077" s="15"/>
      <c r="L1077" s="15">
        <f t="shared" si="201"/>
        <v>0</v>
      </c>
      <c r="M1077" s="15"/>
      <c r="N1077" s="15">
        <f t="shared" si="202"/>
        <v>0</v>
      </c>
      <c r="O1077" s="15" t="str">
        <f>IF(AND(A1077='BANG KE NL'!$M$11,TH!C1077="NL",LEFT(D1077,1)="N"),"x","")</f>
        <v/>
      </c>
    </row>
    <row r="1078" spans="1:15" hidden="1">
      <c r="A1078" s="24" t="str">
        <f t="shared" si="200"/>
        <v/>
      </c>
      <c r="B1078" s="176" t="str">
        <f>IF(AND(MONTH(E1078)='IN-NX'!$J$5,'IN-NX'!$D$7=(D1078&amp;"/"&amp;C1078)),"x","")</f>
        <v/>
      </c>
      <c r="C1078" s="173"/>
      <c r="D1078" s="173"/>
      <c r="E1078" s="70"/>
      <c r="F1078" s="62"/>
      <c r="G1078" s="19"/>
      <c r="H1078" s="178"/>
      <c r="I1078" s="57"/>
      <c r="J1078" s="15"/>
      <c r="K1078" s="15"/>
      <c r="L1078" s="15">
        <f t="shared" si="201"/>
        <v>0</v>
      </c>
      <c r="M1078" s="15"/>
      <c r="N1078" s="15">
        <f t="shared" si="202"/>
        <v>0</v>
      </c>
      <c r="O1078" s="15" t="str">
        <f>IF(AND(A1078='BANG KE NL'!$M$11,TH!C1078="NL",LEFT(D1078,1)="N"),"x","")</f>
        <v/>
      </c>
    </row>
    <row r="1079" spans="1:15" hidden="1">
      <c r="A1079" s="24" t="str">
        <f t="shared" si="200"/>
        <v/>
      </c>
      <c r="B1079" s="176" t="str">
        <f>IF(AND(MONTH(E1079)='IN-NX'!$J$5,'IN-NX'!$D$7=(D1079&amp;"/"&amp;C1079)),"x","")</f>
        <v/>
      </c>
      <c r="C1079" s="173"/>
      <c r="D1079" s="173"/>
      <c r="E1079" s="70"/>
      <c r="F1079" s="62"/>
      <c r="G1079" s="19"/>
      <c r="H1079" s="178"/>
      <c r="I1079" s="57"/>
      <c r="J1079" s="15"/>
      <c r="K1079" s="15"/>
      <c r="L1079" s="15">
        <f t="shared" si="201"/>
        <v>0</v>
      </c>
      <c r="M1079" s="15"/>
      <c r="N1079" s="15">
        <f t="shared" si="202"/>
        <v>0</v>
      </c>
      <c r="O1079" s="15" t="str">
        <f>IF(AND(A1079='BANG KE NL'!$M$11,TH!C1079="NL",LEFT(D1079,1)="N"),"x","")</f>
        <v/>
      </c>
    </row>
    <row r="1080" spans="1:15" hidden="1">
      <c r="A1080" s="24" t="str">
        <f t="shared" si="200"/>
        <v/>
      </c>
      <c r="B1080" s="176" t="str">
        <f>IF(AND(MONTH(E1080)='IN-NX'!$J$5,'IN-NX'!$D$7=(D1080&amp;"/"&amp;C1080)),"x","")</f>
        <v/>
      </c>
      <c r="C1080" s="173"/>
      <c r="D1080" s="173"/>
      <c r="E1080" s="70"/>
      <c r="F1080" s="62"/>
      <c r="G1080" s="19"/>
      <c r="H1080" s="178"/>
      <c r="I1080" s="57"/>
      <c r="J1080" s="15"/>
      <c r="K1080" s="15"/>
      <c r="L1080" s="15">
        <f t="shared" si="201"/>
        <v>0</v>
      </c>
      <c r="M1080" s="15"/>
      <c r="N1080" s="15">
        <f t="shared" si="202"/>
        <v>0</v>
      </c>
      <c r="O1080" s="15" t="str">
        <f>IF(AND(A1080='BANG KE NL'!$M$11,TH!C1080="NL",LEFT(D1080,1)="N"),"x","")</f>
        <v/>
      </c>
    </row>
    <row r="1081" spans="1:15" hidden="1">
      <c r="A1081" s="24" t="str">
        <f t="shared" si="200"/>
        <v/>
      </c>
      <c r="B1081" s="176" t="str">
        <f>IF(AND(MONTH(E1081)='IN-NX'!$J$5,'IN-NX'!$D$7=(D1081&amp;"/"&amp;C1081)),"x","")</f>
        <v/>
      </c>
      <c r="C1081" s="173"/>
      <c r="D1081" s="173"/>
      <c r="E1081" s="70"/>
      <c r="F1081" s="62"/>
      <c r="G1081" s="19"/>
      <c r="H1081" s="178"/>
      <c r="I1081" s="57"/>
      <c r="J1081" s="15"/>
      <c r="K1081" s="15"/>
      <c r="L1081" s="15">
        <f t="shared" si="201"/>
        <v>0</v>
      </c>
      <c r="M1081" s="15"/>
      <c r="N1081" s="15">
        <f t="shared" si="202"/>
        <v>0</v>
      </c>
      <c r="O1081" s="15" t="str">
        <f>IF(AND(A1081='BANG KE NL'!$M$11,TH!C1081="NL",LEFT(D1081,1)="N"),"x","")</f>
        <v/>
      </c>
    </row>
    <row r="1082" spans="1:15" hidden="1">
      <c r="A1082" s="24" t="str">
        <f t="shared" si="200"/>
        <v/>
      </c>
      <c r="B1082" s="176" t="str">
        <f>IF(AND(MONTH(E1082)='IN-NX'!$J$5,'IN-NX'!$D$7=(D1082&amp;"/"&amp;C1082)),"x","")</f>
        <v/>
      </c>
      <c r="C1082" s="173"/>
      <c r="D1082" s="173"/>
      <c r="E1082" s="70"/>
      <c r="F1082" s="62"/>
      <c r="G1082" s="19"/>
      <c r="H1082" s="178"/>
      <c r="I1082" s="57"/>
      <c r="J1082" s="15"/>
      <c r="K1082" s="15"/>
      <c r="L1082" s="15">
        <f t="shared" si="201"/>
        <v>0</v>
      </c>
      <c r="M1082" s="15"/>
      <c r="N1082" s="15">
        <f t="shared" si="202"/>
        <v>0</v>
      </c>
      <c r="O1082" s="15" t="str">
        <f>IF(AND(A1082='BANG KE NL'!$M$11,TH!C1082="NL",LEFT(D1082,1)="N"),"x","")</f>
        <v/>
      </c>
    </row>
    <row r="1083" spans="1:15" hidden="1">
      <c r="A1083" s="24" t="str">
        <f t="shared" si="200"/>
        <v/>
      </c>
      <c r="B1083" s="176" t="str">
        <f>IF(AND(MONTH(E1083)='IN-NX'!$J$5,'IN-NX'!$D$7=(D1083&amp;"/"&amp;C1083)),"x","")</f>
        <v/>
      </c>
      <c r="C1083" s="173"/>
      <c r="D1083" s="173"/>
      <c r="E1083" s="70"/>
      <c r="F1083" s="62"/>
      <c r="G1083" s="19"/>
      <c r="H1083" s="178"/>
      <c r="I1083" s="57"/>
      <c r="J1083" s="15"/>
      <c r="K1083" s="15"/>
      <c r="L1083" s="15">
        <f t="shared" si="201"/>
        <v>0</v>
      </c>
      <c r="M1083" s="15"/>
      <c r="N1083" s="15">
        <f t="shared" si="202"/>
        <v>0</v>
      </c>
      <c r="O1083" s="15" t="str">
        <f>IF(AND(A1083='BANG KE NL'!$M$11,TH!C1083="NL",LEFT(D1083,1)="N"),"x","")</f>
        <v/>
      </c>
    </row>
    <row r="1084" spans="1:15" hidden="1">
      <c r="A1084" s="24" t="str">
        <f t="shared" si="200"/>
        <v/>
      </c>
      <c r="B1084" s="176" t="str">
        <f>IF(AND(MONTH(E1084)='IN-NX'!$J$5,'IN-NX'!$D$7=(D1084&amp;"/"&amp;C1084)),"x","")</f>
        <v/>
      </c>
      <c r="C1084" s="173"/>
      <c r="D1084" s="173"/>
      <c r="E1084" s="70"/>
      <c r="F1084" s="62"/>
      <c r="G1084" s="19"/>
      <c r="H1084" s="178"/>
      <c r="I1084" s="57"/>
      <c r="J1084" s="15"/>
      <c r="K1084" s="15"/>
      <c r="L1084" s="15">
        <f t="shared" si="201"/>
        <v>0</v>
      </c>
      <c r="M1084" s="15"/>
      <c r="N1084" s="15">
        <f t="shared" si="202"/>
        <v>0</v>
      </c>
      <c r="O1084" s="15" t="str">
        <f>IF(AND(A1084='BANG KE NL'!$M$11,TH!C1084="NL",LEFT(D1084,1)="N"),"x","")</f>
        <v/>
      </c>
    </row>
    <row r="1085" spans="1:15" hidden="1">
      <c r="A1085" s="24" t="str">
        <f t="shared" si="200"/>
        <v/>
      </c>
      <c r="B1085" s="176" t="str">
        <f>IF(AND(MONTH(E1085)='IN-NX'!$J$5,'IN-NX'!$D$7=(D1085&amp;"/"&amp;C1085)),"x","")</f>
        <v/>
      </c>
      <c r="C1085" s="173"/>
      <c r="D1085" s="173"/>
      <c r="E1085" s="70"/>
      <c r="F1085" s="62"/>
      <c r="G1085" s="19"/>
      <c r="H1085" s="178"/>
      <c r="I1085" s="57"/>
      <c r="J1085" s="15"/>
      <c r="K1085" s="15"/>
      <c r="L1085" s="15">
        <f t="shared" si="201"/>
        <v>0</v>
      </c>
      <c r="M1085" s="15"/>
      <c r="N1085" s="15">
        <f t="shared" si="202"/>
        <v>0</v>
      </c>
      <c r="O1085" s="15" t="str">
        <f>IF(AND(A1085='BANG KE NL'!$M$11,TH!C1085="NL",LEFT(D1085,1)="N"),"x","")</f>
        <v/>
      </c>
    </row>
    <row r="1086" spans="1:15" hidden="1">
      <c r="A1086" s="24" t="str">
        <f t="shared" si="200"/>
        <v/>
      </c>
      <c r="B1086" s="176" t="str">
        <f>IF(AND(MONTH(E1086)='IN-NX'!$J$5,'IN-NX'!$D$7=(D1086&amp;"/"&amp;C1086)),"x","")</f>
        <v/>
      </c>
      <c r="C1086" s="173"/>
      <c r="D1086" s="173"/>
      <c r="E1086" s="70"/>
      <c r="F1086" s="62"/>
      <c r="G1086" s="19"/>
      <c r="H1086" s="178"/>
      <c r="I1086" s="57"/>
      <c r="J1086" s="15"/>
      <c r="K1086" s="15"/>
      <c r="L1086" s="15">
        <f t="shared" si="201"/>
        <v>0</v>
      </c>
      <c r="M1086" s="15"/>
      <c r="N1086" s="15">
        <f t="shared" si="202"/>
        <v>0</v>
      </c>
      <c r="O1086" s="15" t="str">
        <f>IF(AND(A1086='BANG KE NL'!$M$11,TH!C1086="NL",LEFT(D1086,1)="N"),"x","")</f>
        <v/>
      </c>
    </row>
    <row r="1087" spans="1:15" hidden="1">
      <c r="A1087" s="24" t="str">
        <f t="shared" si="200"/>
        <v/>
      </c>
      <c r="B1087" s="176" t="str">
        <f>IF(AND(MONTH(E1087)='IN-NX'!$J$5,'IN-NX'!$D$7=(D1087&amp;"/"&amp;C1087)),"x","")</f>
        <v/>
      </c>
      <c r="C1087" s="173"/>
      <c r="D1087" s="173"/>
      <c r="E1087" s="70"/>
      <c r="F1087" s="62"/>
      <c r="G1087" s="19"/>
      <c r="H1087" s="178"/>
      <c r="I1087" s="57"/>
      <c r="J1087" s="15"/>
      <c r="K1087" s="15"/>
      <c r="L1087" s="15">
        <f t="shared" si="201"/>
        <v>0</v>
      </c>
      <c r="M1087" s="15"/>
      <c r="N1087" s="15">
        <f t="shared" si="202"/>
        <v>0</v>
      </c>
      <c r="O1087" s="15" t="str">
        <f>IF(AND(A1087='BANG KE NL'!$M$11,TH!C1087="NL",LEFT(D1087,1)="N"),"x","")</f>
        <v/>
      </c>
    </row>
    <row r="1088" spans="1:15" hidden="1">
      <c r="A1088" s="24" t="str">
        <f t="shared" si="200"/>
        <v/>
      </c>
      <c r="B1088" s="176" t="str">
        <f>IF(AND(MONTH(E1088)='IN-NX'!$J$5,'IN-NX'!$D$7=(D1088&amp;"/"&amp;C1088)),"x","")</f>
        <v/>
      </c>
      <c r="C1088" s="173"/>
      <c r="D1088" s="173"/>
      <c r="E1088" s="70"/>
      <c r="F1088" s="62"/>
      <c r="G1088" s="19"/>
      <c r="H1088" s="178"/>
      <c r="I1088" s="57"/>
      <c r="J1088" s="15"/>
      <c r="K1088" s="15"/>
      <c r="L1088" s="15">
        <f t="shared" si="201"/>
        <v>0</v>
      </c>
      <c r="M1088" s="15"/>
      <c r="N1088" s="15">
        <f t="shared" si="202"/>
        <v>0</v>
      </c>
      <c r="O1088" s="15" t="str">
        <f>IF(AND(A1088='BANG KE NL'!$M$11,TH!C1088="NL",LEFT(D1088,1)="N"),"x","")</f>
        <v/>
      </c>
    </row>
    <row r="1089" spans="1:15" hidden="1">
      <c r="A1089" s="24" t="str">
        <f t="shared" si="200"/>
        <v/>
      </c>
      <c r="B1089" s="176" t="str">
        <f>IF(AND(MONTH(E1089)='IN-NX'!$J$5,'IN-NX'!$D$7=(D1089&amp;"/"&amp;C1089)),"x","")</f>
        <v/>
      </c>
      <c r="C1089" s="173"/>
      <c r="D1089" s="173"/>
      <c r="E1089" s="70"/>
      <c r="F1089" s="62"/>
      <c r="G1089" s="19"/>
      <c r="H1089" s="178"/>
      <c r="I1089" s="57"/>
      <c r="J1089" s="15"/>
      <c r="K1089" s="15"/>
      <c r="L1089" s="15">
        <f t="shared" si="201"/>
        <v>0</v>
      </c>
      <c r="M1089" s="15"/>
      <c r="N1089" s="15">
        <f t="shared" si="202"/>
        <v>0</v>
      </c>
      <c r="O1089" s="15" t="str">
        <f>IF(AND(A1089='BANG KE NL'!$M$11,TH!C1089="NL",LEFT(D1089,1)="N"),"x","")</f>
        <v/>
      </c>
    </row>
    <row r="1090" spans="1:15" hidden="1">
      <c r="A1090" s="24" t="str">
        <f t="shared" si="200"/>
        <v/>
      </c>
      <c r="B1090" s="176" t="str">
        <f>IF(AND(MONTH(E1090)='IN-NX'!$J$5,'IN-NX'!$D$7=(D1090&amp;"/"&amp;C1090)),"x","")</f>
        <v/>
      </c>
      <c r="C1090" s="173"/>
      <c r="D1090" s="173"/>
      <c r="E1090" s="70"/>
      <c r="F1090" s="62"/>
      <c r="G1090" s="19"/>
      <c r="H1090" s="178"/>
      <c r="I1090" s="57"/>
      <c r="J1090" s="15"/>
      <c r="K1090" s="15"/>
      <c r="L1090" s="15">
        <f t="shared" si="201"/>
        <v>0</v>
      </c>
      <c r="M1090" s="15"/>
      <c r="N1090" s="15">
        <f t="shared" si="202"/>
        <v>0</v>
      </c>
      <c r="O1090" s="15" t="str">
        <f>IF(AND(A1090='BANG KE NL'!$M$11,TH!C1090="NL",LEFT(D1090,1)="N"),"x","")</f>
        <v/>
      </c>
    </row>
    <row r="1091" spans="1:15" hidden="1">
      <c r="A1091" s="24" t="str">
        <f t="shared" si="200"/>
        <v/>
      </c>
      <c r="B1091" s="176" t="str">
        <f>IF(AND(MONTH(E1091)='IN-NX'!$J$5,'IN-NX'!$D$7=(D1091&amp;"/"&amp;C1091)),"x","")</f>
        <v/>
      </c>
      <c r="C1091" s="173"/>
      <c r="D1091" s="173"/>
      <c r="E1091" s="70"/>
      <c r="F1091" s="62"/>
      <c r="G1091" s="19"/>
      <c r="H1091" s="178"/>
      <c r="I1091" s="57"/>
      <c r="J1091" s="15"/>
      <c r="K1091" s="15"/>
      <c r="L1091" s="15">
        <f t="shared" si="201"/>
        <v>0</v>
      </c>
      <c r="M1091" s="15"/>
      <c r="N1091" s="15">
        <f t="shared" si="202"/>
        <v>0</v>
      </c>
      <c r="O1091" s="15" t="str">
        <f>IF(AND(A1091='BANG KE NL'!$M$11,TH!C1091="NL",LEFT(D1091,1)="N"),"x","")</f>
        <v/>
      </c>
    </row>
    <row r="1092" spans="1:15" hidden="1">
      <c r="A1092" s="24" t="str">
        <f t="shared" si="200"/>
        <v/>
      </c>
      <c r="B1092" s="176" t="str">
        <f>IF(AND(MONTH(E1092)='IN-NX'!$J$5,'IN-NX'!$D$7=(D1092&amp;"/"&amp;C1092)),"x","")</f>
        <v/>
      </c>
      <c r="C1092" s="173"/>
      <c r="D1092" s="173"/>
      <c r="E1092" s="70"/>
      <c r="F1092" s="62"/>
      <c r="G1092" s="19"/>
      <c r="H1092" s="178"/>
      <c r="I1092" s="57"/>
      <c r="J1092" s="15"/>
      <c r="K1092" s="15"/>
      <c r="L1092" s="15">
        <f t="shared" si="201"/>
        <v>0</v>
      </c>
      <c r="M1092" s="15"/>
      <c r="N1092" s="15">
        <f t="shared" si="202"/>
        <v>0</v>
      </c>
      <c r="O1092" s="15" t="str">
        <f>IF(AND(A1092='BANG KE NL'!$M$11,TH!C1092="NL",LEFT(D1092,1)="N"),"x","")</f>
        <v/>
      </c>
    </row>
    <row r="1093" spans="1:15" hidden="1">
      <c r="A1093" s="24" t="str">
        <f t="shared" si="200"/>
        <v/>
      </c>
      <c r="B1093" s="176" t="str">
        <f>IF(AND(MONTH(E1093)='IN-NX'!$J$5,'IN-NX'!$D$7=(D1093&amp;"/"&amp;C1093)),"x","")</f>
        <v/>
      </c>
      <c r="C1093" s="173"/>
      <c r="D1093" s="173"/>
      <c r="E1093" s="70"/>
      <c r="F1093" s="62"/>
      <c r="G1093" s="19"/>
      <c r="H1093" s="178"/>
      <c r="I1093" s="57"/>
      <c r="J1093" s="15"/>
      <c r="K1093" s="15"/>
      <c r="L1093" s="15">
        <f t="shared" si="201"/>
        <v>0</v>
      </c>
      <c r="M1093" s="15"/>
      <c r="N1093" s="15">
        <f t="shared" si="202"/>
        <v>0</v>
      </c>
      <c r="O1093" s="15" t="str">
        <f>IF(AND(A1093='BANG KE NL'!$M$11,TH!C1093="NL",LEFT(D1093,1)="N"),"x","")</f>
        <v/>
      </c>
    </row>
    <row r="1094" spans="1:15" hidden="1">
      <c r="A1094" s="24" t="str">
        <f t="shared" si="200"/>
        <v/>
      </c>
      <c r="B1094" s="176" t="str">
        <f>IF(AND(MONTH(E1094)='IN-NX'!$J$5,'IN-NX'!$D$7=(D1094&amp;"/"&amp;C1094)),"x","")</f>
        <v/>
      </c>
      <c r="C1094" s="173"/>
      <c r="D1094" s="173"/>
      <c r="E1094" s="70"/>
      <c r="F1094" s="62"/>
      <c r="G1094" s="19"/>
      <c r="H1094" s="178"/>
      <c r="I1094" s="57"/>
      <c r="J1094" s="15"/>
      <c r="K1094" s="15"/>
      <c r="L1094" s="15">
        <f t="shared" si="201"/>
        <v>0</v>
      </c>
      <c r="M1094" s="15"/>
      <c r="N1094" s="15">
        <f t="shared" si="202"/>
        <v>0</v>
      </c>
      <c r="O1094" s="15" t="str">
        <f>IF(AND(A1094='BANG KE NL'!$M$11,TH!C1094="NL",LEFT(D1094,1)="N"),"x","")</f>
        <v/>
      </c>
    </row>
    <row r="1095" spans="1:15" hidden="1">
      <c r="A1095" s="24" t="str">
        <f t="shared" si="200"/>
        <v/>
      </c>
      <c r="B1095" s="176" t="str">
        <f>IF(AND(MONTH(E1095)='IN-NX'!$J$5,'IN-NX'!$D$7=(D1095&amp;"/"&amp;C1095)),"x","")</f>
        <v/>
      </c>
      <c r="C1095" s="173"/>
      <c r="D1095" s="173"/>
      <c r="E1095" s="70"/>
      <c r="F1095" s="62"/>
      <c r="G1095" s="19"/>
      <c r="H1095" s="178"/>
      <c r="I1095" s="57"/>
      <c r="J1095" s="15"/>
      <c r="K1095" s="15"/>
      <c r="L1095" s="15">
        <f t="shared" si="201"/>
        <v>0</v>
      </c>
      <c r="M1095" s="15"/>
      <c r="N1095" s="15">
        <f t="shared" si="202"/>
        <v>0</v>
      </c>
      <c r="O1095" s="15" t="str">
        <f>IF(AND(A1095='BANG KE NL'!$M$11,TH!C1095="NL",LEFT(D1095,1)="N"),"x","")</f>
        <v/>
      </c>
    </row>
    <row r="1096" spans="1:15" hidden="1">
      <c r="A1096" s="24" t="str">
        <f t="shared" si="200"/>
        <v/>
      </c>
      <c r="B1096" s="176" t="str">
        <f>IF(AND(MONTH(E1096)='IN-NX'!$J$5,'IN-NX'!$D$7=(D1096&amp;"/"&amp;C1096)),"x","")</f>
        <v/>
      </c>
      <c r="C1096" s="173"/>
      <c r="D1096" s="173"/>
      <c r="E1096" s="70"/>
      <c r="F1096" s="62"/>
      <c r="G1096" s="19"/>
      <c r="H1096" s="178"/>
      <c r="I1096" s="57"/>
      <c r="J1096" s="15"/>
      <c r="K1096" s="15"/>
      <c r="L1096" s="15">
        <f t="shared" si="201"/>
        <v>0</v>
      </c>
      <c r="M1096" s="15"/>
      <c r="N1096" s="15">
        <f t="shared" si="202"/>
        <v>0</v>
      </c>
      <c r="O1096" s="15" t="str">
        <f>IF(AND(A1096='BANG KE NL'!$M$11,TH!C1096="NL",LEFT(D1096,1)="N"),"x","")</f>
        <v/>
      </c>
    </row>
    <row r="1097" spans="1:15" hidden="1">
      <c r="A1097" s="24" t="str">
        <f t="shared" si="200"/>
        <v/>
      </c>
      <c r="B1097" s="176" t="str">
        <f>IF(AND(MONTH(E1097)='IN-NX'!$J$5,'IN-NX'!$D$7=(D1097&amp;"/"&amp;C1097)),"x","")</f>
        <v/>
      </c>
      <c r="C1097" s="173"/>
      <c r="D1097" s="173"/>
      <c r="E1097" s="70"/>
      <c r="F1097" s="62"/>
      <c r="G1097" s="19"/>
      <c r="H1097" s="178"/>
      <c r="I1097" s="57"/>
      <c r="J1097" s="15"/>
      <c r="K1097" s="15"/>
      <c r="L1097" s="15">
        <f t="shared" si="201"/>
        <v>0</v>
      </c>
      <c r="M1097" s="15"/>
      <c r="N1097" s="15">
        <f t="shared" si="202"/>
        <v>0</v>
      </c>
      <c r="O1097" s="15" t="str">
        <f>IF(AND(A1097='BANG KE NL'!$M$11,TH!C1097="NL",LEFT(D1097,1)="N"),"x","")</f>
        <v/>
      </c>
    </row>
    <row r="1098" spans="1:15" hidden="1">
      <c r="A1098" s="24" t="str">
        <f t="shared" si="200"/>
        <v/>
      </c>
      <c r="B1098" s="176" t="str">
        <f>IF(AND(MONTH(E1098)='IN-NX'!$J$5,'IN-NX'!$D$7=(D1098&amp;"/"&amp;C1098)),"x","")</f>
        <v/>
      </c>
      <c r="C1098" s="173"/>
      <c r="D1098" s="173"/>
      <c r="E1098" s="70"/>
      <c r="F1098" s="62"/>
      <c r="G1098" s="19"/>
      <c r="H1098" s="178"/>
      <c r="I1098" s="57"/>
      <c r="J1098" s="15"/>
      <c r="K1098" s="15"/>
      <c r="L1098" s="15">
        <f t="shared" si="201"/>
        <v>0</v>
      </c>
      <c r="M1098" s="15"/>
      <c r="N1098" s="15">
        <f t="shared" si="202"/>
        <v>0</v>
      </c>
      <c r="O1098" s="15" t="str">
        <f>IF(AND(A1098='BANG KE NL'!$M$11,TH!C1098="NL",LEFT(D1098,1)="N"),"x","")</f>
        <v/>
      </c>
    </row>
    <row r="1099" spans="1:15" hidden="1">
      <c r="A1099" s="24" t="str">
        <f t="shared" si="200"/>
        <v/>
      </c>
      <c r="B1099" s="176" t="str">
        <f>IF(AND(MONTH(E1099)='IN-NX'!$J$5,'IN-NX'!$D$7=(D1099&amp;"/"&amp;C1099)),"x","")</f>
        <v/>
      </c>
      <c r="C1099" s="173"/>
      <c r="D1099" s="173"/>
      <c r="E1099" s="70"/>
      <c r="F1099" s="62"/>
      <c r="G1099" s="19"/>
      <c r="H1099" s="178"/>
      <c r="I1099" s="57"/>
      <c r="J1099" s="15"/>
      <c r="K1099" s="15"/>
      <c r="L1099" s="15">
        <f t="shared" si="201"/>
        <v>0</v>
      </c>
      <c r="M1099" s="15"/>
      <c r="N1099" s="15">
        <f t="shared" si="202"/>
        <v>0</v>
      </c>
      <c r="O1099" s="15" t="str">
        <f>IF(AND(A1099='BANG KE NL'!$M$11,TH!C1099="NL",LEFT(D1099,1)="N"),"x","")</f>
        <v/>
      </c>
    </row>
    <row r="1100" spans="1:15" hidden="1">
      <c r="A1100" s="24" t="str">
        <f t="shared" si="200"/>
        <v/>
      </c>
      <c r="B1100" s="176" t="str">
        <f>IF(AND(MONTH(E1100)='IN-NX'!$J$5,'IN-NX'!$D$7=(D1100&amp;"/"&amp;C1100)),"x","")</f>
        <v/>
      </c>
      <c r="C1100" s="173"/>
      <c r="D1100" s="173"/>
      <c r="E1100" s="70"/>
      <c r="F1100" s="62"/>
      <c r="G1100" s="19"/>
      <c r="H1100" s="178"/>
      <c r="I1100" s="57"/>
      <c r="J1100" s="15"/>
      <c r="K1100" s="15"/>
      <c r="L1100" s="15">
        <f t="shared" si="201"/>
        <v>0</v>
      </c>
      <c r="M1100" s="15"/>
      <c r="N1100" s="15">
        <f t="shared" si="202"/>
        <v>0</v>
      </c>
      <c r="O1100" s="15" t="str">
        <f>IF(AND(A1100='BANG KE NL'!$M$11,TH!C1100="NL",LEFT(D1100,1)="N"),"x","")</f>
        <v/>
      </c>
    </row>
    <row r="1101" spans="1:15" hidden="1">
      <c r="A1101" s="24" t="str">
        <f t="shared" si="200"/>
        <v/>
      </c>
      <c r="B1101" s="176" t="str">
        <f>IF(AND(MONTH(E1101)='IN-NX'!$J$5,'IN-NX'!$D$7=(D1101&amp;"/"&amp;C1101)),"x","")</f>
        <v/>
      </c>
      <c r="C1101" s="173"/>
      <c r="D1101" s="173"/>
      <c r="E1101" s="70"/>
      <c r="F1101" s="62"/>
      <c r="G1101" s="19"/>
      <c r="H1101" s="178"/>
      <c r="I1101" s="57"/>
      <c r="J1101" s="15"/>
      <c r="K1101" s="15"/>
      <c r="L1101" s="15">
        <f t="shared" si="201"/>
        <v>0</v>
      </c>
      <c r="M1101" s="15"/>
      <c r="N1101" s="15">
        <f t="shared" si="202"/>
        <v>0</v>
      </c>
      <c r="O1101" s="15" t="str">
        <f>IF(AND(A1101='BANG KE NL'!$M$11,TH!C1101="NL",LEFT(D1101,1)="N"),"x","")</f>
        <v/>
      </c>
    </row>
    <row r="1102" spans="1:15" hidden="1">
      <c r="A1102" s="24" t="str">
        <f t="shared" si="200"/>
        <v/>
      </c>
      <c r="B1102" s="176" t="str">
        <f>IF(AND(MONTH(E1102)='IN-NX'!$J$5,'IN-NX'!$D$7=(D1102&amp;"/"&amp;C1102)),"x","")</f>
        <v/>
      </c>
      <c r="C1102" s="173"/>
      <c r="D1102" s="173"/>
      <c r="E1102" s="70"/>
      <c r="F1102" s="62"/>
      <c r="G1102" s="19"/>
      <c r="H1102" s="178"/>
      <c r="I1102" s="57"/>
      <c r="J1102" s="15"/>
      <c r="K1102" s="15"/>
      <c r="L1102" s="15">
        <f t="shared" si="201"/>
        <v>0</v>
      </c>
      <c r="M1102" s="15"/>
      <c r="N1102" s="15">
        <f t="shared" si="202"/>
        <v>0</v>
      </c>
      <c r="O1102" s="15" t="str">
        <f>IF(AND(A1102='BANG KE NL'!$M$11,TH!C1102="NL",LEFT(D1102,1)="N"),"x","")</f>
        <v/>
      </c>
    </row>
    <row r="1103" spans="1:15" hidden="1">
      <c r="A1103" s="24" t="str">
        <f t="shared" si="200"/>
        <v/>
      </c>
      <c r="B1103" s="176" t="str">
        <f>IF(AND(MONTH(E1103)='IN-NX'!$J$5,'IN-NX'!$D$7=(D1103&amp;"/"&amp;C1103)),"x","")</f>
        <v/>
      </c>
      <c r="C1103" s="173"/>
      <c r="D1103" s="173"/>
      <c r="E1103" s="70"/>
      <c r="F1103" s="62"/>
      <c r="G1103" s="19"/>
      <c r="H1103" s="178"/>
      <c r="I1103" s="57"/>
      <c r="J1103" s="15"/>
      <c r="K1103" s="15"/>
      <c r="L1103" s="15">
        <f t="shared" si="201"/>
        <v>0</v>
      </c>
      <c r="M1103" s="15"/>
      <c r="N1103" s="15">
        <f t="shared" si="202"/>
        <v>0</v>
      </c>
      <c r="O1103" s="15" t="str">
        <f>IF(AND(A1103='BANG KE NL'!$M$11,TH!C1103="NL",LEFT(D1103,1)="N"),"x","")</f>
        <v/>
      </c>
    </row>
    <row r="1104" spans="1:15" hidden="1">
      <c r="A1104" s="24" t="str">
        <f t="shared" si="200"/>
        <v/>
      </c>
      <c r="B1104" s="176" t="str">
        <f>IF(AND(MONTH(E1104)='IN-NX'!$J$5,'IN-NX'!$D$7=(D1104&amp;"/"&amp;C1104)),"x","")</f>
        <v/>
      </c>
      <c r="C1104" s="173"/>
      <c r="D1104" s="173"/>
      <c r="E1104" s="70"/>
      <c r="F1104" s="62"/>
      <c r="G1104" s="19"/>
      <c r="H1104" s="178"/>
      <c r="I1104" s="57"/>
      <c r="J1104" s="15"/>
      <c r="K1104" s="15"/>
      <c r="L1104" s="15">
        <f t="shared" si="201"/>
        <v>0</v>
      </c>
      <c r="M1104" s="15"/>
      <c r="N1104" s="15">
        <f t="shared" si="202"/>
        <v>0</v>
      </c>
      <c r="O1104" s="15" t="str">
        <f>IF(AND(A1104='BANG KE NL'!$M$11,TH!C1104="NL",LEFT(D1104,1)="N"),"x","")</f>
        <v/>
      </c>
    </row>
    <row r="1105" spans="1:15" hidden="1">
      <c r="A1105" s="24" t="str">
        <f t="shared" si="200"/>
        <v/>
      </c>
      <c r="B1105" s="176" t="str">
        <f>IF(AND(MONTH(E1105)='IN-NX'!$J$5,'IN-NX'!$D$7=(D1105&amp;"/"&amp;C1105)),"x","")</f>
        <v/>
      </c>
      <c r="C1105" s="173"/>
      <c r="D1105" s="173"/>
      <c r="E1105" s="70"/>
      <c r="F1105" s="62"/>
      <c r="G1105" s="19"/>
      <c r="H1105" s="178"/>
      <c r="I1105" s="57"/>
      <c r="J1105" s="15"/>
      <c r="K1105" s="15"/>
      <c r="L1105" s="15">
        <f t="shared" si="201"/>
        <v>0</v>
      </c>
      <c r="M1105" s="15"/>
      <c r="N1105" s="15">
        <f t="shared" si="202"/>
        <v>0</v>
      </c>
      <c r="O1105" s="15" t="str">
        <f>IF(AND(A1105='BANG KE NL'!$M$11,TH!C1105="NL",LEFT(D1105,1)="N"),"x","")</f>
        <v/>
      </c>
    </row>
    <row r="1106" spans="1:15" hidden="1">
      <c r="A1106" s="24" t="str">
        <f t="shared" si="200"/>
        <v/>
      </c>
      <c r="B1106" s="176" t="str">
        <f>IF(AND(MONTH(E1106)='IN-NX'!$J$5,'IN-NX'!$D$7=(D1106&amp;"/"&amp;C1106)),"x","")</f>
        <v/>
      </c>
      <c r="C1106" s="173"/>
      <c r="D1106" s="173"/>
      <c r="E1106" s="70"/>
      <c r="F1106" s="62"/>
      <c r="G1106" s="19"/>
      <c r="H1106" s="178"/>
      <c r="I1106" s="57"/>
      <c r="J1106" s="15"/>
      <c r="K1106" s="15"/>
      <c r="L1106" s="15">
        <f t="shared" si="201"/>
        <v>0</v>
      </c>
      <c r="M1106" s="15"/>
      <c r="N1106" s="15">
        <f t="shared" si="202"/>
        <v>0</v>
      </c>
      <c r="O1106" s="15" t="str">
        <f>IF(AND(A1106='BANG KE NL'!$M$11,TH!C1106="NL",LEFT(D1106,1)="N"),"x","")</f>
        <v/>
      </c>
    </row>
    <row r="1107" spans="1:15" hidden="1">
      <c r="A1107" s="24" t="str">
        <f t="shared" si="200"/>
        <v/>
      </c>
      <c r="B1107" s="176" t="str">
        <f>IF(AND(MONTH(E1107)='IN-NX'!$J$5,'IN-NX'!$D$7=(D1107&amp;"/"&amp;C1107)),"x","")</f>
        <v/>
      </c>
      <c r="C1107" s="173"/>
      <c r="D1107" s="173"/>
      <c r="E1107" s="70"/>
      <c r="F1107" s="62"/>
      <c r="G1107" s="19"/>
      <c r="H1107" s="178"/>
      <c r="I1107" s="57"/>
      <c r="J1107" s="15"/>
      <c r="K1107" s="15"/>
      <c r="L1107" s="15">
        <f t="shared" si="201"/>
        <v>0</v>
      </c>
      <c r="M1107" s="15"/>
      <c r="N1107" s="15">
        <f t="shared" si="202"/>
        <v>0</v>
      </c>
      <c r="O1107" s="15" t="str">
        <f>IF(AND(A1107='BANG KE NL'!$M$11,TH!C1107="NL",LEFT(D1107,1)="N"),"x","")</f>
        <v/>
      </c>
    </row>
    <row r="1108" spans="1:15" hidden="1">
      <c r="A1108" s="24" t="str">
        <f t="shared" si="200"/>
        <v/>
      </c>
      <c r="B1108" s="176" t="str">
        <f>IF(AND(MONTH(E1108)='IN-NX'!$J$5,'IN-NX'!$D$7=(D1108&amp;"/"&amp;C1108)),"x","")</f>
        <v/>
      </c>
      <c r="C1108" s="173"/>
      <c r="D1108" s="173"/>
      <c r="E1108" s="70"/>
      <c r="F1108" s="62"/>
      <c r="G1108" s="19"/>
      <c r="H1108" s="178"/>
      <c r="I1108" s="57"/>
      <c r="J1108" s="15"/>
      <c r="K1108" s="15"/>
      <c r="L1108" s="15">
        <f t="shared" si="201"/>
        <v>0</v>
      </c>
      <c r="M1108" s="15"/>
      <c r="N1108" s="15">
        <f t="shared" si="202"/>
        <v>0</v>
      </c>
      <c r="O1108" s="15" t="str">
        <f>IF(AND(A1108='BANG KE NL'!$M$11,TH!C1108="NL",LEFT(D1108,1)="N"),"x","")</f>
        <v/>
      </c>
    </row>
    <row r="1109" spans="1:15" hidden="1">
      <c r="A1109" s="24" t="str">
        <f t="shared" si="200"/>
        <v/>
      </c>
      <c r="B1109" s="176" t="str">
        <f>IF(AND(MONTH(E1109)='IN-NX'!$J$5,'IN-NX'!$D$7=(D1109&amp;"/"&amp;C1109)),"x","")</f>
        <v/>
      </c>
      <c r="C1109" s="173"/>
      <c r="D1109" s="173"/>
      <c r="E1109" s="70"/>
      <c r="F1109" s="62"/>
      <c r="G1109" s="19"/>
      <c r="H1109" s="178"/>
      <c r="I1109" s="57"/>
      <c r="J1109" s="15"/>
      <c r="K1109" s="15"/>
      <c r="L1109" s="15">
        <f t="shared" si="201"/>
        <v>0</v>
      </c>
      <c r="M1109" s="15"/>
      <c r="N1109" s="15">
        <f t="shared" si="202"/>
        <v>0</v>
      </c>
      <c r="O1109" s="15" t="str">
        <f>IF(AND(A1109='BANG KE NL'!$M$11,TH!C1109="NL",LEFT(D1109,1)="N"),"x","")</f>
        <v/>
      </c>
    </row>
    <row r="1110" spans="1:15" hidden="1">
      <c r="A1110" s="24" t="str">
        <f t="shared" si="200"/>
        <v/>
      </c>
      <c r="B1110" s="176" t="str">
        <f>IF(AND(MONTH(E1110)='IN-NX'!$J$5,'IN-NX'!$D$7=(D1110&amp;"/"&amp;C1110)),"x","")</f>
        <v/>
      </c>
      <c r="C1110" s="173"/>
      <c r="D1110" s="173"/>
      <c r="E1110" s="70"/>
      <c r="F1110" s="62"/>
      <c r="G1110" s="19"/>
      <c r="H1110" s="178"/>
      <c r="I1110" s="57"/>
      <c r="J1110" s="15"/>
      <c r="K1110" s="15"/>
      <c r="L1110" s="15">
        <f t="shared" si="201"/>
        <v>0</v>
      </c>
      <c r="M1110" s="15"/>
      <c r="N1110" s="15">
        <f t="shared" si="202"/>
        <v>0</v>
      </c>
      <c r="O1110" s="15" t="str">
        <f>IF(AND(A1110='BANG KE NL'!$M$11,TH!C1110="NL",LEFT(D1110,1)="N"),"x","")</f>
        <v/>
      </c>
    </row>
    <row r="1111" spans="1:15" hidden="1">
      <c r="A1111" s="24" t="str">
        <f t="shared" si="200"/>
        <v/>
      </c>
      <c r="B1111" s="176" t="str">
        <f>IF(AND(MONTH(E1111)='IN-NX'!$J$5,'IN-NX'!$D$7=(D1111&amp;"/"&amp;C1111)),"x","")</f>
        <v/>
      </c>
      <c r="C1111" s="173"/>
      <c r="D1111" s="173"/>
      <c r="E1111" s="70"/>
      <c r="F1111" s="62"/>
      <c r="G1111" s="19"/>
      <c r="H1111" s="178"/>
      <c r="I1111" s="57"/>
      <c r="J1111" s="15"/>
      <c r="K1111" s="15"/>
      <c r="L1111" s="15">
        <f t="shared" si="201"/>
        <v>0</v>
      </c>
      <c r="M1111" s="15"/>
      <c r="N1111" s="15">
        <f t="shared" si="202"/>
        <v>0</v>
      </c>
      <c r="O1111" s="15" t="str">
        <f>IF(AND(A1111='BANG KE NL'!$M$11,TH!C1111="NL",LEFT(D1111,1)="N"),"x","")</f>
        <v/>
      </c>
    </row>
    <row r="1112" spans="1:15" hidden="1">
      <c r="A1112" s="24" t="str">
        <f t="shared" si="200"/>
        <v/>
      </c>
      <c r="B1112" s="176" t="str">
        <f>IF(AND(MONTH(E1112)='IN-NX'!$J$5,'IN-NX'!$D$7=(D1112&amp;"/"&amp;C1112)),"x","")</f>
        <v/>
      </c>
      <c r="C1112" s="173"/>
      <c r="D1112" s="173"/>
      <c r="E1112" s="70"/>
      <c r="F1112" s="62"/>
      <c r="G1112" s="19"/>
      <c r="H1112" s="178"/>
      <c r="I1112" s="57"/>
      <c r="J1112" s="15"/>
      <c r="K1112" s="15"/>
      <c r="L1112" s="15">
        <f t="shared" si="201"/>
        <v>0</v>
      </c>
      <c r="M1112" s="15"/>
      <c r="N1112" s="15">
        <f t="shared" si="202"/>
        <v>0</v>
      </c>
      <c r="O1112" s="15" t="str">
        <f>IF(AND(A1112='BANG KE NL'!$M$11,TH!C1112="NL",LEFT(D1112,1)="N"),"x","")</f>
        <v/>
      </c>
    </row>
    <row r="1113" spans="1:15" hidden="1">
      <c r="A1113" s="24" t="str">
        <f t="shared" si="200"/>
        <v/>
      </c>
      <c r="B1113" s="176" t="str">
        <f>IF(AND(MONTH(E1113)='IN-NX'!$J$5,'IN-NX'!$D$7=(D1113&amp;"/"&amp;C1113)),"x","")</f>
        <v/>
      </c>
      <c r="C1113" s="173"/>
      <c r="D1113" s="173"/>
      <c r="E1113" s="70"/>
      <c r="F1113" s="62"/>
      <c r="G1113" s="19"/>
      <c r="H1113" s="178"/>
      <c r="I1113" s="57"/>
      <c r="J1113" s="15"/>
      <c r="K1113" s="15"/>
      <c r="L1113" s="15">
        <f t="shared" si="201"/>
        <v>0</v>
      </c>
      <c r="M1113" s="15"/>
      <c r="N1113" s="15">
        <f t="shared" si="202"/>
        <v>0</v>
      </c>
      <c r="O1113" s="15" t="str">
        <f>IF(AND(A1113='BANG KE NL'!$M$11,TH!C1113="NL",LEFT(D1113,1)="N"),"x","")</f>
        <v/>
      </c>
    </row>
    <row r="1114" spans="1:15" hidden="1">
      <c r="A1114" s="24" t="str">
        <f t="shared" si="200"/>
        <v/>
      </c>
      <c r="B1114" s="176" t="str">
        <f>IF(AND(MONTH(E1114)='IN-NX'!$J$5,'IN-NX'!$D$7=(D1114&amp;"/"&amp;C1114)),"x","")</f>
        <v/>
      </c>
      <c r="C1114" s="173"/>
      <c r="D1114" s="173"/>
      <c r="E1114" s="70"/>
      <c r="F1114" s="62"/>
      <c r="G1114" s="19"/>
      <c r="H1114" s="178"/>
      <c r="I1114" s="57"/>
      <c r="J1114" s="15"/>
      <c r="K1114" s="15"/>
      <c r="L1114" s="15">
        <f t="shared" si="201"/>
        <v>0</v>
      </c>
      <c r="M1114" s="15"/>
      <c r="N1114" s="15">
        <f t="shared" si="202"/>
        <v>0</v>
      </c>
      <c r="O1114" s="15" t="str">
        <f>IF(AND(A1114='BANG KE NL'!$M$11,TH!C1114="NL",LEFT(D1114,1)="N"),"x","")</f>
        <v/>
      </c>
    </row>
    <row r="1115" spans="1:15" hidden="1">
      <c r="A1115" s="24" t="str">
        <f t="shared" si="200"/>
        <v/>
      </c>
      <c r="B1115" s="176" t="str">
        <f>IF(AND(MONTH(E1115)='IN-NX'!$J$5,'IN-NX'!$D$7=(D1115&amp;"/"&amp;C1115)),"x","")</f>
        <v/>
      </c>
      <c r="C1115" s="173"/>
      <c r="D1115" s="173"/>
      <c r="E1115" s="70"/>
      <c r="F1115" s="62"/>
      <c r="G1115" s="19"/>
      <c r="H1115" s="178"/>
      <c r="I1115" s="57"/>
      <c r="J1115" s="15"/>
      <c r="K1115" s="15"/>
      <c r="L1115" s="15">
        <f t="shared" si="201"/>
        <v>0</v>
      </c>
      <c r="M1115" s="15"/>
      <c r="N1115" s="15">
        <f t="shared" si="202"/>
        <v>0</v>
      </c>
      <c r="O1115" s="15" t="str">
        <f>IF(AND(A1115='BANG KE NL'!$M$11,TH!C1115="NL",LEFT(D1115,1)="N"),"x","")</f>
        <v/>
      </c>
    </row>
    <row r="1116" spans="1:15" hidden="1">
      <c r="A1116" s="24" t="str">
        <f t="shared" si="200"/>
        <v/>
      </c>
      <c r="B1116" s="176" t="str">
        <f>IF(AND(MONTH(E1116)='IN-NX'!$J$5,'IN-NX'!$D$7=(D1116&amp;"/"&amp;C1116)),"x","")</f>
        <v/>
      </c>
      <c r="C1116" s="173"/>
      <c r="D1116" s="173"/>
      <c r="E1116" s="70"/>
      <c r="F1116" s="62"/>
      <c r="G1116" s="19"/>
      <c r="H1116" s="178"/>
      <c r="I1116" s="57"/>
      <c r="J1116" s="15"/>
      <c r="K1116" s="15"/>
      <c r="L1116" s="15">
        <f t="shared" si="201"/>
        <v>0</v>
      </c>
      <c r="M1116" s="15"/>
      <c r="N1116" s="15">
        <f t="shared" si="202"/>
        <v>0</v>
      </c>
      <c r="O1116" s="15" t="str">
        <f>IF(AND(A1116='BANG KE NL'!$M$11,TH!C1116="NL",LEFT(D1116,1)="N"),"x","")</f>
        <v/>
      </c>
    </row>
    <row r="1117" spans="1:15" hidden="1">
      <c r="A1117" s="24" t="str">
        <f t="shared" si="200"/>
        <v/>
      </c>
      <c r="B1117" s="176" t="str">
        <f>IF(AND(MONTH(E1117)='IN-NX'!$J$5,'IN-NX'!$D$7=(D1117&amp;"/"&amp;C1117)),"x","")</f>
        <v/>
      </c>
      <c r="C1117" s="173"/>
      <c r="D1117" s="173"/>
      <c r="E1117" s="70"/>
      <c r="F1117" s="62"/>
      <c r="G1117" s="19"/>
      <c r="H1117" s="178"/>
      <c r="I1117" s="57"/>
      <c r="J1117" s="15"/>
      <c r="K1117" s="15"/>
      <c r="L1117" s="15">
        <f t="shared" si="201"/>
        <v>0</v>
      </c>
      <c r="M1117" s="15"/>
      <c r="N1117" s="15">
        <f t="shared" si="202"/>
        <v>0</v>
      </c>
      <c r="O1117" s="15" t="str">
        <f>IF(AND(A1117='BANG KE NL'!$M$11,TH!C1117="NL",LEFT(D1117,1)="N"),"x","")</f>
        <v/>
      </c>
    </row>
    <row r="1118" spans="1:15" hidden="1">
      <c r="A1118" s="24" t="str">
        <f t="shared" si="200"/>
        <v/>
      </c>
      <c r="B1118" s="176" t="str">
        <f>IF(AND(MONTH(E1118)='IN-NX'!$J$5,'IN-NX'!$D$7=(D1118&amp;"/"&amp;C1118)),"x","")</f>
        <v/>
      </c>
      <c r="C1118" s="173"/>
      <c r="D1118" s="173"/>
      <c r="E1118" s="70"/>
      <c r="F1118" s="62"/>
      <c r="G1118" s="19"/>
      <c r="H1118" s="178"/>
      <c r="I1118" s="57"/>
      <c r="J1118" s="15"/>
      <c r="K1118" s="15"/>
      <c r="L1118" s="15">
        <f t="shared" si="201"/>
        <v>0</v>
      </c>
      <c r="M1118" s="15"/>
      <c r="N1118" s="15">
        <f t="shared" si="202"/>
        <v>0</v>
      </c>
      <c r="O1118" s="15" t="str">
        <f>IF(AND(A1118='BANG KE NL'!$M$11,TH!C1118="NL",LEFT(D1118,1)="N"),"x","")</f>
        <v/>
      </c>
    </row>
    <row r="1119" spans="1:15" hidden="1">
      <c r="A1119" s="24" t="str">
        <f t="shared" si="200"/>
        <v/>
      </c>
      <c r="B1119" s="176" t="str">
        <f>IF(AND(MONTH(E1119)='IN-NX'!$J$5,'IN-NX'!$D$7=(D1119&amp;"/"&amp;C1119)),"x","")</f>
        <v/>
      </c>
      <c r="C1119" s="173"/>
      <c r="D1119" s="173"/>
      <c r="E1119" s="70"/>
      <c r="F1119" s="62"/>
      <c r="G1119" s="19"/>
      <c r="H1119" s="178"/>
      <c r="I1119" s="57"/>
      <c r="J1119" s="15"/>
      <c r="K1119" s="15"/>
      <c r="L1119" s="15">
        <f t="shared" si="201"/>
        <v>0</v>
      </c>
      <c r="M1119" s="15"/>
      <c r="N1119" s="15">
        <f t="shared" si="202"/>
        <v>0</v>
      </c>
      <c r="O1119" s="15" t="str">
        <f>IF(AND(A1119='BANG KE NL'!$M$11,TH!C1119="NL",LEFT(D1119,1)="N"),"x","")</f>
        <v/>
      </c>
    </row>
    <row r="1120" spans="1:15" hidden="1">
      <c r="A1120" s="24" t="str">
        <f t="shared" si="200"/>
        <v/>
      </c>
      <c r="B1120" s="176" t="str">
        <f>IF(AND(MONTH(E1120)='IN-NX'!$J$5,'IN-NX'!$D$7=(D1120&amp;"/"&amp;C1120)),"x","")</f>
        <v/>
      </c>
      <c r="C1120" s="173"/>
      <c r="D1120" s="173"/>
      <c r="E1120" s="70"/>
      <c r="F1120" s="62"/>
      <c r="G1120" s="19"/>
      <c r="H1120" s="178"/>
      <c r="I1120" s="57"/>
      <c r="J1120" s="15"/>
      <c r="K1120" s="15"/>
      <c r="L1120" s="15">
        <f t="shared" si="201"/>
        <v>0</v>
      </c>
      <c r="M1120" s="15"/>
      <c r="N1120" s="15">
        <f t="shared" si="202"/>
        <v>0</v>
      </c>
      <c r="O1120" s="15" t="str">
        <f>IF(AND(A1120='BANG KE NL'!$M$11,TH!C1120="NL",LEFT(D1120,1)="N"),"x","")</f>
        <v/>
      </c>
    </row>
    <row r="1121" spans="1:15" hidden="1">
      <c r="A1121" s="24" t="str">
        <f t="shared" si="200"/>
        <v/>
      </c>
      <c r="B1121" s="176" t="str">
        <f>IF(AND(MONTH(E1121)='IN-NX'!$J$5,'IN-NX'!$D$7=(D1121&amp;"/"&amp;C1121)),"x","")</f>
        <v/>
      </c>
      <c r="C1121" s="173"/>
      <c r="D1121" s="173"/>
      <c r="E1121" s="70"/>
      <c r="F1121" s="62"/>
      <c r="G1121" s="19"/>
      <c r="H1121" s="178"/>
      <c r="I1121" s="57"/>
      <c r="J1121" s="15"/>
      <c r="K1121" s="15"/>
      <c r="L1121" s="15">
        <f t="shared" si="201"/>
        <v>0</v>
      </c>
      <c r="M1121" s="15"/>
      <c r="N1121" s="15">
        <f t="shared" si="202"/>
        <v>0</v>
      </c>
      <c r="O1121" s="15" t="str">
        <f>IF(AND(A1121='BANG KE NL'!$M$11,TH!C1121="NL",LEFT(D1121,1)="N"),"x","")</f>
        <v/>
      </c>
    </row>
    <row r="1122" spans="1:15" hidden="1">
      <c r="A1122" s="24" t="str">
        <f t="shared" si="200"/>
        <v/>
      </c>
      <c r="B1122" s="176" t="str">
        <f>IF(AND(MONTH(E1122)='IN-NX'!$J$5,'IN-NX'!$D$7=(D1122&amp;"/"&amp;C1122)),"x","")</f>
        <v/>
      </c>
      <c r="C1122" s="173"/>
      <c r="D1122" s="173"/>
      <c r="E1122" s="70"/>
      <c r="F1122" s="62"/>
      <c r="G1122" s="19"/>
      <c r="H1122" s="178"/>
      <c r="I1122" s="57"/>
      <c r="J1122" s="15"/>
      <c r="K1122" s="15"/>
      <c r="L1122" s="15">
        <f t="shared" si="201"/>
        <v>0</v>
      </c>
      <c r="M1122" s="15"/>
      <c r="N1122" s="15">
        <f t="shared" si="202"/>
        <v>0</v>
      </c>
      <c r="O1122" s="15" t="str">
        <f>IF(AND(A1122='BANG KE NL'!$M$11,TH!C1122="NL",LEFT(D1122,1)="N"),"x","")</f>
        <v/>
      </c>
    </row>
    <row r="1123" spans="1:15" hidden="1">
      <c r="A1123" s="24" t="str">
        <f t="shared" si="200"/>
        <v/>
      </c>
      <c r="B1123" s="176" t="str">
        <f>IF(AND(MONTH(E1123)='IN-NX'!$J$5,'IN-NX'!$D$7=(D1123&amp;"/"&amp;C1123)),"x","")</f>
        <v/>
      </c>
      <c r="C1123" s="173"/>
      <c r="D1123" s="173"/>
      <c r="E1123" s="70"/>
      <c r="F1123" s="62"/>
      <c r="G1123" s="19"/>
      <c r="H1123" s="178"/>
      <c r="I1123" s="57"/>
      <c r="J1123" s="15"/>
      <c r="K1123" s="15"/>
      <c r="L1123" s="15">
        <f t="shared" si="201"/>
        <v>0</v>
      </c>
      <c r="M1123" s="15"/>
      <c r="N1123" s="15">
        <f t="shared" si="202"/>
        <v>0</v>
      </c>
      <c r="O1123" s="15" t="str">
        <f>IF(AND(A1123='BANG KE NL'!$M$11,TH!C1123="NL",LEFT(D1123,1)="N"),"x","")</f>
        <v/>
      </c>
    </row>
    <row r="1124" spans="1:15" hidden="1">
      <c r="A1124" s="24" t="str">
        <f t="shared" si="200"/>
        <v/>
      </c>
      <c r="B1124" s="176" t="str">
        <f>IF(AND(MONTH(E1124)='IN-NX'!$J$5,'IN-NX'!$D$7=(D1124&amp;"/"&amp;C1124)),"x","")</f>
        <v/>
      </c>
      <c r="C1124" s="173"/>
      <c r="D1124" s="173"/>
      <c r="E1124" s="70"/>
      <c r="F1124" s="62"/>
      <c r="G1124" s="19"/>
      <c r="H1124" s="178"/>
      <c r="I1124" s="57"/>
      <c r="J1124" s="15"/>
      <c r="K1124" s="15"/>
      <c r="L1124" s="15">
        <f t="shared" si="201"/>
        <v>0</v>
      </c>
      <c r="M1124" s="15"/>
      <c r="N1124" s="15">
        <f t="shared" si="202"/>
        <v>0</v>
      </c>
      <c r="O1124" s="15" t="str">
        <f>IF(AND(A1124='BANG KE NL'!$M$11,TH!C1124="NL",LEFT(D1124,1)="N"),"x","")</f>
        <v/>
      </c>
    </row>
    <row r="1125" spans="1:15" hidden="1">
      <c r="A1125" s="24" t="str">
        <f t="shared" ref="A1125:A1188" si="203">IF(E1125&lt;&gt;"",MONTH(E1125),"")</f>
        <v/>
      </c>
      <c r="B1125" s="176" t="str">
        <f>IF(AND(MONTH(E1125)='IN-NX'!$J$5,'IN-NX'!$D$7=(D1125&amp;"/"&amp;C1125)),"x","")</f>
        <v/>
      </c>
      <c r="C1125" s="173"/>
      <c r="D1125" s="173"/>
      <c r="E1125" s="70"/>
      <c r="F1125" s="62"/>
      <c r="G1125" s="19"/>
      <c r="H1125" s="178"/>
      <c r="I1125" s="57"/>
      <c r="J1125" s="15"/>
      <c r="K1125" s="15"/>
      <c r="L1125" s="15">
        <f t="shared" si="201"/>
        <v>0</v>
      </c>
      <c r="M1125" s="15"/>
      <c r="N1125" s="15">
        <f t="shared" si="202"/>
        <v>0</v>
      </c>
      <c r="O1125" s="15" t="str">
        <f>IF(AND(A1125='BANG KE NL'!$M$11,TH!C1125="NL",LEFT(D1125,1)="N"),"x","")</f>
        <v/>
      </c>
    </row>
    <row r="1126" spans="1:15" hidden="1">
      <c r="A1126" s="24" t="str">
        <f t="shared" si="203"/>
        <v/>
      </c>
      <c r="B1126" s="176" t="str">
        <f>IF(AND(MONTH(E1126)='IN-NX'!$J$5,'IN-NX'!$D$7=(D1126&amp;"/"&amp;C1126)),"x","")</f>
        <v/>
      </c>
      <c r="C1126" s="173"/>
      <c r="D1126" s="173"/>
      <c r="E1126" s="70"/>
      <c r="F1126" s="62"/>
      <c r="G1126" s="19"/>
      <c r="H1126" s="178"/>
      <c r="I1126" s="57"/>
      <c r="J1126" s="15"/>
      <c r="K1126" s="15"/>
      <c r="L1126" s="15">
        <f t="shared" si="201"/>
        <v>0</v>
      </c>
      <c r="M1126" s="15"/>
      <c r="N1126" s="15">
        <f t="shared" si="202"/>
        <v>0</v>
      </c>
      <c r="O1126" s="15" t="str">
        <f>IF(AND(A1126='BANG KE NL'!$M$11,TH!C1126="NL",LEFT(D1126,1)="N"),"x","")</f>
        <v/>
      </c>
    </row>
    <row r="1127" spans="1:15" hidden="1">
      <c r="A1127" s="24" t="str">
        <f t="shared" si="203"/>
        <v/>
      </c>
      <c r="B1127" s="176" t="str">
        <f>IF(AND(MONTH(E1127)='IN-NX'!$J$5,'IN-NX'!$D$7=(D1127&amp;"/"&amp;C1127)),"x","")</f>
        <v/>
      </c>
      <c r="C1127" s="173"/>
      <c r="D1127" s="173"/>
      <c r="E1127" s="70"/>
      <c r="F1127" s="62"/>
      <c r="G1127" s="19"/>
      <c r="H1127" s="178"/>
      <c r="I1127" s="57"/>
      <c r="J1127" s="15"/>
      <c r="K1127" s="15"/>
      <c r="L1127" s="15">
        <f t="shared" si="201"/>
        <v>0</v>
      </c>
      <c r="M1127" s="15"/>
      <c r="N1127" s="15">
        <f t="shared" si="202"/>
        <v>0</v>
      </c>
      <c r="O1127" s="15" t="str">
        <f>IF(AND(A1127='BANG KE NL'!$M$11,TH!C1127="NL",LEFT(D1127,1)="N"),"x","")</f>
        <v/>
      </c>
    </row>
    <row r="1128" spans="1:15" hidden="1">
      <c r="A1128" s="24" t="str">
        <f t="shared" si="203"/>
        <v/>
      </c>
      <c r="B1128" s="176" t="str">
        <f>IF(AND(MONTH(E1128)='IN-NX'!$J$5,'IN-NX'!$D$7=(D1128&amp;"/"&amp;C1128)),"x","")</f>
        <v/>
      </c>
      <c r="C1128" s="173"/>
      <c r="D1128" s="173"/>
      <c r="E1128" s="70"/>
      <c r="F1128" s="62"/>
      <c r="G1128" s="19"/>
      <c r="H1128" s="178"/>
      <c r="I1128" s="57"/>
      <c r="J1128" s="15"/>
      <c r="K1128" s="15"/>
      <c r="L1128" s="15">
        <f t="shared" si="201"/>
        <v>0</v>
      </c>
      <c r="M1128" s="15"/>
      <c r="N1128" s="15">
        <f t="shared" si="202"/>
        <v>0</v>
      </c>
      <c r="O1128" s="15" t="str">
        <f>IF(AND(A1128='BANG KE NL'!$M$11,TH!C1128="NL",LEFT(D1128,1)="N"),"x","")</f>
        <v/>
      </c>
    </row>
    <row r="1129" spans="1:15" hidden="1">
      <c r="A1129" s="24" t="str">
        <f t="shared" si="203"/>
        <v/>
      </c>
      <c r="B1129" s="176" t="str">
        <f>IF(AND(MONTH(E1129)='IN-NX'!$J$5,'IN-NX'!$D$7=(D1129&amp;"/"&amp;C1129)),"x","")</f>
        <v/>
      </c>
      <c r="C1129" s="173"/>
      <c r="D1129" s="173"/>
      <c r="E1129" s="70"/>
      <c r="F1129" s="62"/>
      <c r="G1129" s="19"/>
      <c r="H1129" s="178"/>
      <c r="I1129" s="57"/>
      <c r="J1129" s="15"/>
      <c r="K1129" s="15"/>
      <c r="L1129" s="15">
        <f t="shared" si="201"/>
        <v>0</v>
      </c>
      <c r="M1129" s="15"/>
      <c r="N1129" s="15">
        <f t="shared" si="202"/>
        <v>0</v>
      </c>
      <c r="O1129" s="15" t="str">
        <f>IF(AND(A1129='BANG KE NL'!$M$11,TH!C1129="NL",LEFT(D1129,1)="N"),"x","")</f>
        <v/>
      </c>
    </row>
    <row r="1130" spans="1:15" hidden="1">
      <c r="A1130" s="24" t="str">
        <f t="shared" si="203"/>
        <v/>
      </c>
      <c r="B1130" s="176" t="str">
        <f>IF(AND(MONTH(E1130)='IN-NX'!$J$5,'IN-NX'!$D$7=(D1130&amp;"/"&amp;C1130)),"x","")</f>
        <v/>
      </c>
      <c r="C1130" s="173"/>
      <c r="D1130" s="173"/>
      <c r="E1130" s="70"/>
      <c r="F1130" s="62"/>
      <c r="G1130" s="19"/>
      <c r="H1130" s="178"/>
      <c r="I1130" s="57"/>
      <c r="J1130" s="15"/>
      <c r="K1130" s="15"/>
      <c r="L1130" s="15">
        <f t="shared" si="201"/>
        <v>0</v>
      </c>
      <c r="M1130" s="15"/>
      <c r="N1130" s="15">
        <f t="shared" si="202"/>
        <v>0</v>
      </c>
      <c r="O1130" s="15" t="str">
        <f>IF(AND(A1130='BANG KE NL'!$M$11,TH!C1130="NL",LEFT(D1130,1)="N"),"x","")</f>
        <v/>
      </c>
    </row>
    <row r="1131" spans="1:15" hidden="1">
      <c r="A1131" s="24" t="str">
        <f t="shared" si="203"/>
        <v/>
      </c>
      <c r="B1131" s="176" t="str">
        <f>IF(AND(MONTH(E1131)='IN-NX'!$J$5,'IN-NX'!$D$7=(D1131&amp;"/"&amp;C1131)),"x","")</f>
        <v/>
      </c>
      <c r="C1131" s="173"/>
      <c r="D1131" s="173"/>
      <c r="E1131" s="70"/>
      <c r="F1131" s="62"/>
      <c r="G1131" s="19"/>
      <c r="H1131" s="178"/>
      <c r="I1131" s="57"/>
      <c r="J1131" s="15"/>
      <c r="K1131" s="15"/>
      <c r="L1131" s="15">
        <f t="shared" si="201"/>
        <v>0</v>
      </c>
      <c r="M1131" s="15"/>
      <c r="N1131" s="15">
        <f t="shared" si="202"/>
        <v>0</v>
      </c>
      <c r="O1131" s="15" t="str">
        <f>IF(AND(A1131='BANG KE NL'!$M$11,TH!C1131="NL",LEFT(D1131,1)="N"),"x","")</f>
        <v/>
      </c>
    </row>
    <row r="1132" spans="1:15" hidden="1">
      <c r="A1132" s="24" t="str">
        <f t="shared" si="203"/>
        <v/>
      </c>
      <c r="B1132" s="176" t="str">
        <f>IF(AND(MONTH(E1132)='IN-NX'!$J$5,'IN-NX'!$D$7=(D1132&amp;"/"&amp;C1132)),"x","")</f>
        <v/>
      </c>
      <c r="C1132" s="173"/>
      <c r="D1132" s="173"/>
      <c r="E1132" s="70"/>
      <c r="F1132" s="62"/>
      <c r="G1132" s="19"/>
      <c r="H1132" s="178"/>
      <c r="I1132" s="57"/>
      <c r="J1132" s="15"/>
      <c r="K1132" s="15"/>
      <c r="L1132" s="15">
        <f t="shared" si="201"/>
        <v>0</v>
      </c>
      <c r="M1132" s="15"/>
      <c r="N1132" s="15">
        <f t="shared" si="202"/>
        <v>0</v>
      </c>
      <c r="O1132" s="15" t="str">
        <f>IF(AND(A1132='BANG KE NL'!$M$11,TH!C1132="NL",LEFT(D1132,1)="N"),"x","")</f>
        <v/>
      </c>
    </row>
    <row r="1133" spans="1:15" hidden="1">
      <c r="A1133" s="24" t="str">
        <f t="shared" si="203"/>
        <v/>
      </c>
      <c r="B1133" s="176" t="str">
        <f>IF(AND(MONTH(E1133)='IN-NX'!$J$5,'IN-NX'!$D$7=(D1133&amp;"/"&amp;C1133)),"x","")</f>
        <v/>
      </c>
      <c r="C1133" s="173"/>
      <c r="D1133" s="173"/>
      <c r="E1133" s="70"/>
      <c r="F1133" s="62"/>
      <c r="G1133" s="19"/>
      <c r="H1133" s="178"/>
      <c r="I1133" s="57"/>
      <c r="J1133" s="15"/>
      <c r="K1133" s="15"/>
      <c r="L1133" s="15">
        <f t="shared" ref="L1133:L1196" si="204">ROUND(J1133*K1133,0)</f>
        <v>0</v>
      </c>
      <c r="M1133" s="15"/>
      <c r="N1133" s="15">
        <f t="shared" ref="N1133:N1196" si="205">ROUND(J1133*M1133,0)</f>
        <v>0</v>
      </c>
      <c r="O1133" s="15" t="str">
        <f>IF(AND(A1133='BANG KE NL'!$M$11,TH!C1133="NL",LEFT(D1133,1)="N"),"x","")</f>
        <v/>
      </c>
    </row>
    <row r="1134" spans="1:15" hidden="1">
      <c r="A1134" s="24" t="str">
        <f t="shared" si="203"/>
        <v/>
      </c>
      <c r="B1134" s="176" t="str">
        <f>IF(AND(MONTH(E1134)='IN-NX'!$J$5,'IN-NX'!$D$7=(D1134&amp;"/"&amp;C1134)),"x","")</f>
        <v/>
      </c>
      <c r="C1134" s="173"/>
      <c r="D1134" s="173"/>
      <c r="E1134" s="70"/>
      <c r="F1134" s="62"/>
      <c r="G1134" s="19"/>
      <c r="H1134" s="178"/>
      <c r="I1134" s="57"/>
      <c r="J1134" s="15"/>
      <c r="K1134" s="15"/>
      <c r="L1134" s="15">
        <f t="shared" si="204"/>
        <v>0</v>
      </c>
      <c r="M1134" s="15"/>
      <c r="N1134" s="15">
        <f t="shared" si="205"/>
        <v>0</v>
      </c>
      <c r="O1134" s="15" t="str">
        <f>IF(AND(A1134='BANG KE NL'!$M$11,TH!C1134="NL",LEFT(D1134,1)="N"),"x","")</f>
        <v/>
      </c>
    </row>
    <row r="1135" spans="1:15" hidden="1">
      <c r="A1135" s="24" t="str">
        <f t="shared" si="203"/>
        <v/>
      </c>
      <c r="B1135" s="176" t="str">
        <f>IF(AND(MONTH(E1135)='IN-NX'!$J$5,'IN-NX'!$D$7=(D1135&amp;"/"&amp;C1135)),"x","")</f>
        <v/>
      </c>
      <c r="C1135" s="173"/>
      <c r="D1135" s="173"/>
      <c r="E1135" s="70"/>
      <c r="F1135" s="62"/>
      <c r="G1135" s="19"/>
      <c r="H1135" s="178"/>
      <c r="I1135" s="57"/>
      <c r="J1135" s="15"/>
      <c r="K1135" s="15"/>
      <c r="L1135" s="15">
        <f t="shared" si="204"/>
        <v>0</v>
      </c>
      <c r="M1135" s="15"/>
      <c r="N1135" s="15">
        <f t="shared" si="205"/>
        <v>0</v>
      </c>
      <c r="O1135" s="15" t="str">
        <f>IF(AND(A1135='BANG KE NL'!$M$11,TH!C1135="NL",LEFT(D1135,1)="N"),"x","")</f>
        <v/>
      </c>
    </row>
    <row r="1136" spans="1:15" hidden="1">
      <c r="A1136" s="24" t="str">
        <f t="shared" si="203"/>
        <v/>
      </c>
      <c r="B1136" s="176" t="str">
        <f>IF(AND(MONTH(E1136)='IN-NX'!$J$5,'IN-NX'!$D$7=(D1136&amp;"/"&amp;C1136)),"x","")</f>
        <v/>
      </c>
      <c r="C1136" s="173"/>
      <c r="D1136" s="173"/>
      <c r="E1136" s="70"/>
      <c r="F1136" s="62"/>
      <c r="G1136" s="19"/>
      <c r="H1136" s="178"/>
      <c r="I1136" s="57"/>
      <c r="J1136" s="15"/>
      <c r="K1136" s="15"/>
      <c r="L1136" s="15">
        <f t="shared" si="204"/>
        <v>0</v>
      </c>
      <c r="M1136" s="15"/>
      <c r="N1136" s="15">
        <f t="shared" si="205"/>
        <v>0</v>
      </c>
      <c r="O1136" s="15" t="str">
        <f>IF(AND(A1136='BANG KE NL'!$M$11,TH!C1136="NL",LEFT(D1136,1)="N"),"x","")</f>
        <v/>
      </c>
    </row>
    <row r="1137" spans="1:15" hidden="1">
      <c r="A1137" s="24" t="str">
        <f t="shared" si="203"/>
        <v/>
      </c>
      <c r="B1137" s="176" t="str">
        <f>IF(AND(MONTH(E1137)='IN-NX'!$J$5,'IN-NX'!$D$7=(D1137&amp;"/"&amp;C1137)),"x","")</f>
        <v/>
      </c>
      <c r="C1137" s="173"/>
      <c r="D1137" s="173"/>
      <c r="E1137" s="70"/>
      <c r="F1137" s="62"/>
      <c r="G1137" s="19"/>
      <c r="H1137" s="178"/>
      <c r="I1137" s="57"/>
      <c r="J1137" s="15"/>
      <c r="K1137" s="15"/>
      <c r="L1137" s="15">
        <f t="shared" si="204"/>
        <v>0</v>
      </c>
      <c r="M1137" s="15"/>
      <c r="N1137" s="15">
        <f t="shared" si="205"/>
        <v>0</v>
      </c>
      <c r="O1137" s="15" t="str">
        <f>IF(AND(A1137='BANG KE NL'!$M$11,TH!C1137="NL",LEFT(D1137,1)="N"),"x","")</f>
        <v/>
      </c>
    </row>
    <row r="1138" spans="1:15" hidden="1">
      <c r="A1138" s="24" t="str">
        <f t="shared" si="203"/>
        <v/>
      </c>
      <c r="B1138" s="176" t="str">
        <f>IF(AND(MONTH(E1138)='IN-NX'!$J$5,'IN-NX'!$D$7=(D1138&amp;"/"&amp;C1138)),"x","")</f>
        <v/>
      </c>
      <c r="C1138" s="173"/>
      <c r="D1138" s="173"/>
      <c r="E1138" s="70"/>
      <c r="F1138" s="62"/>
      <c r="G1138" s="19"/>
      <c r="H1138" s="178"/>
      <c r="I1138" s="57"/>
      <c r="J1138" s="15"/>
      <c r="K1138" s="15"/>
      <c r="L1138" s="15">
        <f t="shared" si="204"/>
        <v>0</v>
      </c>
      <c r="M1138" s="15"/>
      <c r="N1138" s="15">
        <f t="shared" si="205"/>
        <v>0</v>
      </c>
      <c r="O1138" s="15" t="str">
        <f>IF(AND(A1138='BANG KE NL'!$M$11,TH!C1138="NL",LEFT(D1138,1)="N"),"x","")</f>
        <v/>
      </c>
    </row>
    <row r="1139" spans="1:15" hidden="1">
      <c r="A1139" s="24" t="str">
        <f t="shared" si="203"/>
        <v/>
      </c>
      <c r="B1139" s="176" t="str">
        <f>IF(AND(MONTH(E1139)='IN-NX'!$J$5,'IN-NX'!$D$7=(D1139&amp;"/"&amp;C1139)),"x","")</f>
        <v/>
      </c>
      <c r="C1139" s="173"/>
      <c r="D1139" s="173"/>
      <c r="E1139" s="70"/>
      <c r="F1139" s="62"/>
      <c r="G1139" s="19"/>
      <c r="H1139" s="178"/>
      <c r="I1139" s="57"/>
      <c r="J1139" s="15"/>
      <c r="K1139" s="15"/>
      <c r="L1139" s="15">
        <f t="shared" si="204"/>
        <v>0</v>
      </c>
      <c r="M1139" s="15"/>
      <c r="N1139" s="15">
        <f t="shared" si="205"/>
        <v>0</v>
      </c>
      <c r="O1139" s="15" t="str">
        <f>IF(AND(A1139='BANG KE NL'!$M$11,TH!C1139="NL",LEFT(D1139,1)="N"),"x","")</f>
        <v/>
      </c>
    </row>
    <row r="1140" spans="1:15" hidden="1">
      <c r="A1140" s="24" t="str">
        <f t="shared" si="203"/>
        <v/>
      </c>
      <c r="B1140" s="176" t="str">
        <f>IF(AND(MONTH(E1140)='IN-NX'!$J$5,'IN-NX'!$D$7=(D1140&amp;"/"&amp;C1140)),"x","")</f>
        <v/>
      </c>
      <c r="C1140" s="173"/>
      <c r="D1140" s="173"/>
      <c r="E1140" s="70"/>
      <c r="F1140" s="62"/>
      <c r="G1140" s="19"/>
      <c r="H1140" s="178"/>
      <c r="I1140" s="57"/>
      <c r="J1140" s="15"/>
      <c r="K1140" s="15"/>
      <c r="L1140" s="15">
        <f t="shared" si="204"/>
        <v>0</v>
      </c>
      <c r="M1140" s="15"/>
      <c r="N1140" s="15">
        <f t="shared" si="205"/>
        <v>0</v>
      </c>
      <c r="O1140" s="15" t="str">
        <f>IF(AND(A1140='BANG KE NL'!$M$11,TH!C1140="NL",LEFT(D1140,1)="N"),"x","")</f>
        <v/>
      </c>
    </row>
    <row r="1141" spans="1:15" hidden="1">
      <c r="A1141" s="24" t="str">
        <f t="shared" si="203"/>
        <v/>
      </c>
      <c r="B1141" s="176" t="str">
        <f>IF(AND(MONTH(E1141)='IN-NX'!$J$5,'IN-NX'!$D$7=(D1141&amp;"/"&amp;C1141)),"x","")</f>
        <v/>
      </c>
      <c r="C1141" s="173"/>
      <c r="D1141" s="173"/>
      <c r="E1141" s="70"/>
      <c r="F1141" s="62"/>
      <c r="G1141" s="19"/>
      <c r="H1141" s="178"/>
      <c r="I1141" s="57"/>
      <c r="J1141" s="15"/>
      <c r="K1141" s="15"/>
      <c r="L1141" s="15">
        <f t="shared" si="204"/>
        <v>0</v>
      </c>
      <c r="M1141" s="15"/>
      <c r="N1141" s="15">
        <f t="shared" si="205"/>
        <v>0</v>
      </c>
      <c r="O1141" s="15" t="str">
        <f>IF(AND(A1141='BANG KE NL'!$M$11,TH!C1141="NL",LEFT(D1141,1)="N"),"x","")</f>
        <v/>
      </c>
    </row>
    <row r="1142" spans="1:15" hidden="1">
      <c r="A1142" s="24" t="str">
        <f t="shared" si="203"/>
        <v/>
      </c>
      <c r="B1142" s="176" t="str">
        <f>IF(AND(MONTH(E1142)='IN-NX'!$J$5,'IN-NX'!$D$7=(D1142&amp;"/"&amp;C1142)),"x","")</f>
        <v/>
      </c>
      <c r="C1142" s="173"/>
      <c r="D1142" s="173"/>
      <c r="E1142" s="70"/>
      <c r="F1142" s="62"/>
      <c r="G1142" s="19"/>
      <c r="H1142" s="178"/>
      <c r="I1142" s="57"/>
      <c r="J1142" s="15"/>
      <c r="K1142" s="15"/>
      <c r="L1142" s="15">
        <f t="shared" si="204"/>
        <v>0</v>
      </c>
      <c r="M1142" s="15"/>
      <c r="N1142" s="15">
        <f t="shared" si="205"/>
        <v>0</v>
      </c>
      <c r="O1142" s="15" t="str">
        <f>IF(AND(A1142='BANG KE NL'!$M$11,TH!C1142="NL",LEFT(D1142,1)="N"),"x","")</f>
        <v/>
      </c>
    </row>
    <row r="1143" spans="1:15" hidden="1">
      <c r="A1143" s="24" t="str">
        <f t="shared" si="203"/>
        <v/>
      </c>
      <c r="B1143" s="176" t="str">
        <f>IF(AND(MONTH(E1143)='IN-NX'!$J$5,'IN-NX'!$D$7=(D1143&amp;"/"&amp;C1143)),"x","")</f>
        <v/>
      </c>
      <c r="C1143" s="173"/>
      <c r="D1143" s="173"/>
      <c r="E1143" s="70"/>
      <c r="F1143" s="62"/>
      <c r="G1143" s="19"/>
      <c r="H1143" s="178"/>
      <c r="I1143" s="57"/>
      <c r="J1143" s="15"/>
      <c r="K1143" s="15"/>
      <c r="L1143" s="15">
        <f t="shared" si="204"/>
        <v>0</v>
      </c>
      <c r="M1143" s="15"/>
      <c r="N1143" s="15">
        <f t="shared" si="205"/>
        <v>0</v>
      </c>
      <c r="O1143" s="15" t="str">
        <f>IF(AND(A1143='BANG KE NL'!$M$11,TH!C1143="NL",LEFT(D1143,1)="N"),"x","")</f>
        <v/>
      </c>
    </row>
    <row r="1144" spans="1:15" hidden="1">
      <c r="A1144" s="24" t="str">
        <f t="shared" si="203"/>
        <v/>
      </c>
      <c r="B1144" s="176" t="str">
        <f>IF(AND(MONTH(E1144)='IN-NX'!$J$5,'IN-NX'!$D$7=(D1144&amp;"/"&amp;C1144)),"x","")</f>
        <v/>
      </c>
      <c r="C1144" s="173"/>
      <c r="D1144" s="173"/>
      <c r="E1144" s="70"/>
      <c r="F1144" s="62"/>
      <c r="G1144" s="19"/>
      <c r="H1144" s="178"/>
      <c r="I1144" s="57"/>
      <c r="J1144" s="15"/>
      <c r="K1144" s="15"/>
      <c r="L1144" s="15">
        <f t="shared" si="204"/>
        <v>0</v>
      </c>
      <c r="M1144" s="15"/>
      <c r="N1144" s="15">
        <f t="shared" si="205"/>
        <v>0</v>
      </c>
      <c r="O1144" s="15" t="str">
        <f>IF(AND(A1144='BANG KE NL'!$M$11,TH!C1144="NL",LEFT(D1144,1)="N"),"x","")</f>
        <v/>
      </c>
    </row>
    <row r="1145" spans="1:15" hidden="1">
      <c r="A1145" s="24" t="str">
        <f t="shared" si="203"/>
        <v/>
      </c>
      <c r="B1145" s="176" t="str">
        <f>IF(AND(MONTH(E1145)='IN-NX'!$J$5,'IN-NX'!$D$7=(D1145&amp;"/"&amp;C1145)),"x","")</f>
        <v/>
      </c>
      <c r="C1145" s="173"/>
      <c r="D1145" s="173"/>
      <c r="E1145" s="70"/>
      <c r="F1145" s="62"/>
      <c r="G1145" s="19"/>
      <c r="H1145" s="178"/>
      <c r="I1145" s="57"/>
      <c r="J1145" s="15"/>
      <c r="K1145" s="15"/>
      <c r="L1145" s="15">
        <f t="shared" si="204"/>
        <v>0</v>
      </c>
      <c r="M1145" s="15"/>
      <c r="N1145" s="15">
        <f t="shared" si="205"/>
        <v>0</v>
      </c>
      <c r="O1145" s="15" t="str">
        <f>IF(AND(A1145='BANG KE NL'!$M$11,TH!C1145="NL",LEFT(D1145,1)="N"),"x","")</f>
        <v/>
      </c>
    </row>
    <row r="1146" spans="1:15" hidden="1">
      <c r="A1146" s="24" t="str">
        <f t="shared" si="203"/>
        <v/>
      </c>
      <c r="B1146" s="176" t="str">
        <f>IF(AND(MONTH(E1146)='IN-NX'!$J$5,'IN-NX'!$D$7=(D1146&amp;"/"&amp;C1146)),"x","")</f>
        <v/>
      </c>
      <c r="C1146" s="173"/>
      <c r="D1146" s="173"/>
      <c r="E1146" s="70"/>
      <c r="F1146" s="62"/>
      <c r="G1146" s="19"/>
      <c r="H1146" s="178"/>
      <c r="I1146" s="57"/>
      <c r="J1146" s="15"/>
      <c r="K1146" s="15"/>
      <c r="L1146" s="15">
        <f t="shared" si="204"/>
        <v>0</v>
      </c>
      <c r="M1146" s="15"/>
      <c r="N1146" s="15">
        <f t="shared" si="205"/>
        <v>0</v>
      </c>
      <c r="O1146" s="15" t="str">
        <f>IF(AND(A1146='BANG KE NL'!$M$11,TH!C1146="NL",LEFT(D1146,1)="N"),"x","")</f>
        <v/>
      </c>
    </row>
    <row r="1147" spans="1:15" hidden="1">
      <c r="A1147" s="24" t="str">
        <f t="shared" si="203"/>
        <v/>
      </c>
      <c r="B1147" s="176" t="str">
        <f>IF(AND(MONTH(E1147)='IN-NX'!$J$5,'IN-NX'!$D$7=(D1147&amp;"/"&amp;C1147)),"x","")</f>
        <v/>
      </c>
      <c r="C1147" s="173"/>
      <c r="D1147" s="173"/>
      <c r="E1147" s="70"/>
      <c r="F1147" s="62"/>
      <c r="G1147" s="19"/>
      <c r="H1147" s="178"/>
      <c r="I1147" s="57"/>
      <c r="J1147" s="15"/>
      <c r="K1147" s="15"/>
      <c r="L1147" s="15">
        <f t="shared" si="204"/>
        <v>0</v>
      </c>
      <c r="M1147" s="15"/>
      <c r="N1147" s="15">
        <f t="shared" si="205"/>
        <v>0</v>
      </c>
      <c r="O1147" s="15" t="str">
        <f>IF(AND(A1147='BANG KE NL'!$M$11,TH!C1147="NL",LEFT(D1147,1)="N"),"x","")</f>
        <v/>
      </c>
    </row>
    <row r="1148" spans="1:15" hidden="1">
      <c r="A1148" s="24" t="str">
        <f t="shared" si="203"/>
        <v/>
      </c>
      <c r="B1148" s="176" t="str">
        <f>IF(AND(MONTH(E1148)='IN-NX'!$J$5,'IN-NX'!$D$7=(D1148&amp;"/"&amp;C1148)),"x","")</f>
        <v/>
      </c>
      <c r="C1148" s="173"/>
      <c r="D1148" s="173"/>
      <c r="E1148" s="70"/>
      <c r="F1148" s="62"/>
      <c r="G1148" s="19"/>
      <c r="H1148" s="178"/>
      <c r="I1148" s="57"/>
      <c r="J1148" s="15"/>
      <c r="K1148" s="15"/>
      <c r="L1148" s="15">
        <f t="shared" si="204"/>
        <v>0</v>
      </c>
      <c r="M1148" s="15"/>
      <c r="N1148" s="15">
        <f t="shared" si="205"/>
        <v>0</v>
      </c>
      <c r="O1148" s="15" t="str">
        <f>IF(AND(A1148='BANG KE NL'!$M$11,TH!C1148="NL",LEFT(D1148,1)="N"),"x","")</f>
        <v/>
      </c>
    </row>
    <row r="1149" spans="1:15" hidden="1">
      <c r="A1149" s="24" t="str">
        <f t="shared" si="203"/>
        <v/>
      </c>
      <c r="B1149" s="176" t="str">
        <f>IF(AND(MONTH(E1149)='IN-NX'!$J$5,'IN-NX'!$D$7=(D1149&amp;"/"&amp;C1149)),"x","")</f>
        <v/>
      </c>
      <c r="C1149" s="173"/>
      <c r="D1149" s="173"/>
      <c r="E1149" s="70"/>
      <c r="F1149" s="62"/>
      <c r="G1149" s="19"/>
      <c r="H1149" s="178"/>
      <c r="I1149" s="57"/>
      <c r="J1149" s="15"/>
      <c r="K1149" s="15"/>
      <c r="L1149" s="15">
        <f t="shared" si="204"/>
        <v>0</v>
      </c>
      <c r="M1149" s="15"/>
      <c r="N1149" s="15">
        <f t="shared" si="205"/>
        <v>0</v>
      </c>
      <c r="O1149" s="15" t="str">
        <f>IF(AND(A1149='BANG KE NL'!$M$11,TH!C1149="NL",LEFT(D1149,1)="N"),"x","")</f>
        <v/>
      </c>
    </row>
    <row r="1150" spans="1:15" hidden="1">
      <c r="A1150" s="24" t="str">
        <f t="shared" si="203"/>
        <v/>
      </c>
      <c r="B1150" s="176" t="str">
        <f>IF(AND(MONTH(E1150)='IN-NX'!$J$5,'IN-NX'!$D$7=(D1150&amp;"/"&amp;C1150)),"x","")</f>
        <v/>
      </c>
      <c r="C1150" s="173"/>
      <c r="D1150" s="173"/>
      <c r="E1150" s="70"/>
      <c r="F1150" s="62"/>
      <c r="G1150" s="19"/>
      <c r="H1150" s="178"/>
      <c r="I1150" s="57"/>
      <c r="J1150" s="15"/>
      <c r="K1150" s="15"/>
      <c r="L1150" s="15">
        <f t="shared" si="204"/>
        <v>0</v>
      </c>
      <c r="M1150" s="15"/>
      <c r="N1150" s="15">
        <f t="shared" si="205"/>
        <v>0</v>
      </c>
      <c r="O1150" s="15" t="str">
        <f>IF(AND(A1150='BANG KE NL'!$M$11,TH!C1150="NL",LEFT(D1150,1)="N"),"x","")</f>
        <v/>
      </c>
    </row>
    <row r="1151" spans="1:15" hidden="1">
      <c r="A1151" s="24" t="str">
        <f t="shared" si="203"/>
        <v/>
      </c>
      <c r="B1151" s="176" t="str">
        <f>IF(AND(MONTH(E1151)='IN-NX'!$J$5,'IN-NX'!$D$7=(D1151&amp;"/"&amp;C1151)),"x","")</f>
        <v/>
      </c>
      <c r="C1151" s="173"/>
      <c r="D1151" s="173"/>
      <c r="E1151" s="70"/>
      <c r="F1151" s="62"/>
      <c r="G1151" s="19"/>
      <c r="H1151" s="178"/>
      <c r="I1151" s="57"/>
      <c r="J1151" s="15"/>
      <c r="K1151" s="15"/>
      <c r="L1151" s="15">
        <f t="shared" si="204"/>
        <v>0</v>
      </c>
      <c r="M1151" s="15"/>
      <c r="N1151" s="15">
        <f t="shared" si="205"/>
        <v>0</v>
      </c>
      <c r="O1151" s="15" t="str">
        <f>IF(AND(A1151='BANG KE NL'!$M$11,TH!C1151="NL",LEFT(D1151,1)="N"),"x","")</f>
        <v/>
      </c>
    </row>
    <row r="1152" spans="1:15" hidden="1">
      <c r="A1152" s="24" t="str">
        <f t="shared" si="203"/>
        <v/>
      </c>
      <c r="B1152" s="176" t="str">
        <f>IF(AND(MONTH(E1152)='IN-NX'!$J$5,'IN-NX'!$D$7=(D1152&amp;"/"&amp;C1152)),"x","")</f>
        <v/>
      </c>
      <c r="C1152" s="173"/>
      <c r="D1152" s="173"/>
      <c r="E1152" s="70"/>
      <c r="F1152" s="62"/>
      <c r="G1152" s="19"/>
      <c r="H1152" s="178"/>
      <c r="I1152" s="57"/>
      <c r="J1152" s="15"/>
      <c r="K1152" s="15"/>
      <c r="L1152" s="15">
        <f t="shared" si="204"/>
        <v>0</v>
      </c>
      <c r="M1152" s="15"/>
      <c r="N1152" s="15">
        <f t="shared" si="205"/>
        <v>0</v>
      </c>
      <c r="O1152" s="15" t="str">
        <f>IF(AND(A1152='BANG KE NL'!$M$11,TH!C1152="NL",LEFT(D1152,1)="N"),"x","")</f>
        <v/>
      </c>
    </row>
    <row r="1153" spans="1:15" hidden="1">
      <c r="A1153" s="24" t="str">
        <f t="shared" si="203"/>
        <v/>
      </c>
      <c r="B1153" s="176" t="str">
        <f>IF(AND(MONTH(E1153)='IN-NX'!$J$5,'IN-NX'!$D$7=(D1153&amp;"/"&amp;C1153)),"x","")</f>
        <v/>
      </c>
      <c r="C1153" s="173"/>
      <c r="D1153" s="173"/>
      <c r="E1153" s="70"/>
      <c r="F1153" s="62"/>
      <c r="G1153" s="19"/>
      <c r="H1153" s="178"/>
      <c r="I1153" s="57"/>
      <c r="J1153" s="15"/>
      <c r="K1153" s="15"/>
      <c r="L1153" s="15">
        <f t="shared" si="204"/>
        <v>0</v>
      </c>
      <c r="M1153" s="15"/>
      <c r="N1153" s="15">
        <f t="shared" si="205"/>
        <v>0</v>
      </c>
      <c r="O1153" s="15" t="str">
        <f>IF(AND(A1153='BANG KE NL'!$M$11,TH!C1153="NL",LEFT(D1153,1)="N"),"x","")</f>
        <v/>
      </c>
    </row>
    <row r="1154" spans="1:15" hidden="1">
      <c r="A1154" s="24" t="str">
        <f t="shared" si="203"/>
        <v/>
      </c>
      <c r="B1154" s="176" t="str">
        <f>IF(AND(MONTH(E1154)='IN-NX'!$J$5,'IN-NX'!$D$7=(D1154&amp;"/"&amp;C1154)),"x","")</f>
        <v/>
      </c>
      <c r="C1154" s="173"/>
      <c r="D1154" s="173"/>
      <c r="E1154" s="70"/>
      <c r="F1154" s="62"/>
      <c r="G1154" s="19"/>
      <c r="H1154" s="178"/>
      <c r="I1154" s="57"/>
      <c r="J1154" s="15"/>
      <c r="K1154" s="15"/>
      <c r="L1154" s="15">
        <f t="shared" si="204"/>
        <v>0</v>
      </c>
      <c r="M1154" s="15"/>
      <c r="N1154" s="15">
        <f t="shared" si="205"/>
        <v>0</v>
      </c>
      <c r="O1154" s="15" t="str">
        <f>IF(AND(A1154='BANG KE NL'!$M$11,TH!C1154="NL",LEFT(D1154,1)="N"),"x","")</f>
        <v/>
      </c>
    </row>
    <row r="1155" spans="1:15" hidden="1">
      <c r="A1155" s="24" t="str">
        <f t="shared" si="203"/>
        <v/>
      </c>
      <c r="B1155" s="176" t="str">
        <f>IF(AND(MONTH(E1155)='IN-NX'!$J$5,'IN-NX'!$D$7=(D1155&amp;"/"&amp;C1155)),"x","")</f>
        <v/>
      </c>
      <c r="C1155" s="173"/>
      <c r="D1155" s="173"/>
      <c r="E1155" s="70"/>
      <c r="F1155" s="62"/>
      <c r="G1155" s="19"/>
      <c r="H1155" s="178"/>
      <c r="I1155" s="57"/>
      <c r="J1155" s="15"/>
      <c r="K1155" s="15"/>
      <c r="L1155" s="15">
        <f t="shared" si="204"/>
        <v>0</v>
      </c>
      <c r="M1155" s="15"/>
      <c r="N1155" s="15">
        <f t="shared" si="205"/>
        <v>0</v>
      </c>
      <c r="O1155" s="15" t="str">
        <f>IF(AND(A1155='BANG KE NL'!$M$11,TH!C1155="NL",LEFT(D1155,1)="N"),"x","")</f>
        <v/>
      </c>
    </row>
    <row r="1156" spans="1:15" hidden="1">
      <c r="A1156" s="24" t="str">
        <f t="shared" si="203"/>
        <v/>
      </c>
      <c r="B1156" s="176" t="str">
        <f>IF(AND(MONTH(E1156)='IN-NX'!$J$5,'IN-NX'!$D$7=(D1156&amp;"/"&amp;C1156)),"x","")</f>
        <v/>
      </c>
      <c r="C1156" s="173"/>
      <c r="D1156" s="173"/>
      <c r="E1156" s="70"/>
      <c r="F1156" s="62"/>
      <c r="G1156" s="19"/>
      <c r="H1156" s="178"/>
      <c r="I1156" s="57"/>
      <c r="J1156" s="15"/>
      <c r="K1156" s="15"/>
      <c r="L1156" s="15">
        <f t="shared" si="204"/>
        <v>0</v>
      </c>
      <c r="M1156" s="15"/>
      <c r="N1156" s="15">
        <f t="shared" si="205"/>
        <v>0</v>
      </c>
      <c r="O1156" s="15" t="str">
        <f>IF(AND(A1156='BANG KE NL'!$M$11,TH!C1156="NL",LEFT(D1156,1)="N"),"x","")</f>
        <v/>
      </c>
    </row>
    <row r="1157" spans="1:15" hidden="1">
      <c r="A1157" s="24" t="str">
        <f t="shared" si="203"/>
        <v/>
      </c>
      <c r="B1157" s="176" t="str">
        <f>IF(AND(MONTH(E1157)='IN-NX'!$J$5,'IN-NX'!$D$7=(D1157&amp;"/"&amp;C1157)),"x","")</f>
        <v/>
      </c>
      <c r="C1157" s="173"/>
      <c r="D1157" s="173"/>
      <c r="E1157" s="70"/>
      <c r="F1157" s="62"/>
      <c r="G1157" s="19"/>
      <c r="H1157" s="178"/>
      <c r="I1157" s="57"/>
      <c r="J1157" s="15"/>
      <c r="K1157" s="15"/>
      <c r="L1157" s="15">
        <f t="shared" si="204"/>
        <v>0</v>
      </c>
      <c r="M1157" s="15"/>
      <c r="N1157" s="15">
        <f t="shared" si="205"/>
        <v>0</v>
      </c>
      <c r="O1157" s="15" t="str">
        <f>IF(AND(A1157='BANG KE NL'!$M$11,TH!C1157="NL",LEFT(D1157,1)="N"),"x","")</f>
        <v/>
      </c>
    </row>
    <row r="1158" spans="1:15" hidden="1">
      <c r="A1158" s="24" t="str">
        <f t="shared" si="203"/>
        <v/>
      </c>
      <c r="B1158" s="176" t="str">
        <f>IF(AND(MONTH(E1158)='IN-NX'!$J$5,'IN-NX'!$D$7=(D1158&amp;"/"&amp;C1158)),"x","")</f>
        <v/>
      </c>
      <c r="C1158" s="173"/>
      <c r="D1158" s="173"/>
      <c r="E1158" s="70"/>
      <c r="F1158" s="62"/>
      <c r="G1158" s="19"/>
      <c r="H1158" s="178"/>
      <c r="I1158" s="57"/>
      <c r="J1158" s="15"/>
      <c r="K1158" s="15"/>
      <c r="L1158" s="15">
        <f t="shared" si="204"/>
        <v>0</v>
      </c>
      <c r="M1158" s="15"/>
      <c r="N1158" s="15">
        <f t="shared" si="205"/>
        <v>0</v>
      </c>
      <c r="O1158" s="15" t="str">
        <f>IF(AND(A1158='BANG KE NL'!$M$11,TH!C1158="NL",LEFT(D1158,1)="N"),"x","")</f>
        <v/>
      </c>
    </row>
    <row r="1159" spans="1:15" hidden="1">
      <c r="A1159" s="24" t="str">
        <f t="shared" si="203"/>
        <v/>
      </c>
      <c r="B1159" s="176" t="str">
        <f>IF(AND(MONTH(E1159)='IN-NX'!$J$5,'IN-NX'!$D$7=(D1159&amp;"/"&amp;C1159)),"x","")</f>
        <v/>
      </c>
      <c r="C1159" s="173"/>
      <c r="D1159" s="173"/>
      <c r="E1159" s="70"/>
      <c r="F1159" s="62"/>
      <c r="G1159" s="19"/>
      <c r="H1159" s="178"/>
      <c r="I1159" s="57"/>
      <c r="J1159" s="15"/>
      <c r="K1159" s="15"/>
      <c r="L1159" s="15">
        <f t="shared" si="204"/>
        <v>0</v>
      </c>
      <c r="M1159" s="15"/>
      <c r="N1159" s="15">
        <f t="shared" si="205"/>
        <v>0</v>
      </c>
      <c r="O1159" s="15" t="str">
        <f>IF(AND(A1159='BANG KE NL'!$M$11,TH!C1159="NL",LEFT(D1159,1)="N"),"x","")</f>
        <v/>
      </c>
    </row>
    <row r="1160" spans="1:15" hidden="1">
      <c r="A1160" s="24" t="str">
        <f t="shared" si="203"/>
        <v/>
      </c>
      <c r="B1160" s="176" t="str">
        <f>IF(AND(MONTH(E1160)='IN-NX'!$J$5,'IN-NX'!$D$7=(D1160&amp;"/"&amp;C1160)),"x","")</f>
        <v/>
      </c>
      <c r="C1160" s="173"/>
      <c r="D1160" s="173"/>
      <c r="E1160" s="70"/>
      <c r="F1160" s="62"/>
      <c r="G1160" s="19"/>
      <c r="H1160" s="178"/>
      <c r="I1160" s="57"/>
      <c r="J1160" s="15"/>
      <c r="K1160" s="15"/>
      <c r="L1160" s="15">
        <f t="shared" si="204"/>
        <v>0</v>
      </c>
      <c r="M1160" s="15"/>
      <c r="N1160" s="15">
        <f t="shared" si="205"/>
        <v>0</v>
      </c>
      <c r="O1160" s="15" t="str">
        <f>IF(AND(A1160='BANG KE NL'!$M$11,TH!C1160="NL",LEFT(D1160,1)="N"),"x","")</f>
        <v/>
      </c>
    </row>
    <row r="1161" spans="1:15" hidden="1">
      <c r="A1161" s="24" t="str">
        <f t="shared" si="203"/>
        <v/>
      </c>
      <c r="B1161" s="176" t="str">
        <f>IF(AND(MONTH(E1161)='IN-NX'!$J$5,'IN-NX'!$D$7=(D1161&amp;"/"&amp;C1161)),"x","")</f>
        <v/>
      </c>
      <c r="C1161" s="173"/>
      <c r="D1161" s="173"/>
      <c r="E1161" s="70"/>
      <c r="F1161" s="62"/>
      <c r="G1161" s="19"/>
      <c r="H1161" s="178"/>
      <c r="I1161" s="57"/>
      <c r="J1161" s="15"/>
      <c r="K1161" s="15"/>
      <c r="L1161" s="15">
        <f t="shared" si="204"/>
        <v>0</v>
      </c>
      <c r="M1161" s="15"/>
      <c r="N1161" s="15">
        <f t="shared" si="205"/>
        <v>0</v>
      </c>
      <c r="O1161" s="15" t="str">
        <f>IF(AND(A1161='BANG KE NL'!$M$11,TH!C1161="NL",LEFT(D1161,1)="N"),"x","")</f>
        <v/>
      </c>
    </row>
    <row r="1162" spans="1:15" hidden="1">
      <c r="A1162" s="24" t="str">
        <f t="shared" si="203"/>
        <v/>
      </c>
      <c r="B1162" s="176" t="str">
        <f>IF(AND(MONTH(E1162)='IN-NX'!$J$5,'IN-NX'!$D$7=(D1162&amp;"/"&amp;C1162)),"x","")</f>
        <v/>
      </c>
      <c r="C1162" s="173"/>
      <c r="D1162" s="173"/>
      <c r="E1162" s="70"/>
      <c r="F1162" s="62"/>
      <c r="G1162" s="19"/>
      <c r="H1162" s="178"/>
      <c r="I1162" s="57"/>
      <c r="J1162" s="15"/>
      <c r="K1162" s="15"/>
      <c r="L1162" s="15">
        <f t="shared" si="204"/>
        <v>0</v>
      </c>
      <c r="M1162" s="15"/>
      <c r="N1162" s="15">
        <f t="shared" si="205"/>
        <v>0</v>
      </c>
      <c r="O1162" s="15" t="str">
        <f>IF(AND(A1162='BANG KE NL'!$M$11,TH!C1162="NL",LEFT(D1162,1)="N"),"x","")</f>
        <v/>
      </c>
    </row>
    <row r="1163" spans="1:15" hidden="1">
      <c r="A1163" s="24" t="str">
        <f t="shared" si="203"/>
        <v/>
      </c>
      <c r="B1163" s="176" t="str">
        <f>IF(AND(MONTH(E1163)='IN-NX'!$J$5,'IN-NX'!$D$7=(D1163&amp;"/"&amp;C1163)),"x","")</f>
        <v/>
      </c>
      <c r="C1163" s="173"/>
      <c r="D1163" s="173"/>
      <c r="E1163" s="70"/>
      <c r="F1163" s="62"/>
      <c r="G1163" s="19"/>
      <c r="H1163" s="178"/>
      <c r="I1163" s="57"/>
      <c r="J1163" s="15"/>
      <c r="K1163" s="15"/>
      <c r="L1163" s="15">
        <f t="shared" si="204"/>
        <v>0</v>
      </c>
      <c r="M1163" s="15"/>
      <c r="N1163" s="15">
        <f t="shared" si="205"/>
        <v>0</v>
      </c>
      <c r="O1163" s="15" t="str">
        <f>IF(AND(A1163='BANG KE NL'!$M$11,TH!C1163="NL",LEFT(D1163,1)="N"),"x","")</f>
        <v/>
      </c>
    </row>
    <row r="1164" spans="1:15" hidden="1">
      <c r="A1164" s="24" t="str">
        <f t="shared" si="203"/>
        <v/>
      </c>
      <c r="B1164" s="176" t="str">
        <f>IF(AND(MONTH(E1164)='IN-NX'!$J$5,'IN-NX'!$D$7=(D1164&amp;"/"&amp;C1164)),"x","")</f>
        <v/>
      </c>
      <c r="C1164" s="173"/>
      <c r="D1164" s="173"/>
      <c r="E1164" s="70"/>
      <c r="F1164" s="62"/>
      <c r="G1164" s="19"/>
      <c r="H1164" s="178"/>
      <c r="I1164" s="57"/>
      <c r="J1164" s="15"/>
      <c r="K1164" s="15"/>
      <c r="L1164" s="15">
        <f t="shared" si="204"/>
        <v>0</v>
      </c>
      <c r="M1164" s="15"/>
      <c r="N1164" s="15">
        <f t="shared" si="205"/>
        <v>0</v>
      </c>
      <c r="O1164" s="15" t="str">
        <f>IF(AND(A1164='BANG KE NL'!$M$11,TH!C1164="NL",LEFT(D1164,1)="N"),"x","")</f>
        <v/>
      </c>
    </row>
    <row r="1165" spans="1:15" hidden="1">
      <c r="A1165" s="24" t="str">
        <f t="shared" si="203"/>
        <v/>
      </c>
      <c r="B1165" s="176" t="str">
        <f>IF(AND(MONTH(E1165)='IN-NX'!$J$5,'IN-NX'!$D$7=(D1165&amp;"/"&amp;C1165)),"x","")</f>
        <v/>
      </c>
      <c r="C1165" s="173"/>
      <c r="D1165" s="173"/>
      <c r="E1165" s="70"/>
      <c r="F1165" s="62"/>
      <c r="G1165" s="19"/>
      <c r="H1165" s="178"/>
      <c r="I1165" s="57"/>
      <c r="J1165" s="15"/>
      <c r="K1165" s="15"/>
      <c r="L1165" s="15">
        <f t="shared" si="204"/>
        <v>0</v>
      </c>
      <c r="M1165" s="15"/>
      <c r="N1165" s="15">
        <f t="shared" si="205"/>
        <v>0</v>
      </c>
      <c r="O1165" s="15" t="str">
        <f>IF(AND(A1165='BANG KE NL'!$M$11,TH!C1165="NL",LEFT(D1165,1)="N"),"x","")</f>
        <v/>
      </c>
    </row>
    <row r="1166" spans="1:15" hidden="1">
      <c r="A1166" s="24" t="str">
        <f t="shared" si="203"/>
        <v/>
      </c>
      <c r="B1166" s="176" t="str">
        <f>IF(AND(MONTH(E1166)='IN-NX'!$J$5,'IN-NX'!$D$7=(D1166&amp;"/"&amp;C1166)),"x","")</f>
        <v/>
      </c>
      <c r="C1166" s="173"/>
      <c r="D1166" s="173"/>
      <c r="E1166" s="70"/>
      <c r="F1166" s="62"/>
      <c r="G1166" s="19"/>
      <c r="H1166" s="178"/>
      <c r="I1166" s="57"/>
      <c r="J1166" s="15"/>
      <c r="K1166" s="15"/>
      <c r="L1166" s="15">
        <f t="shared" si="204"/>
        <v>0</v>
      </c>
      <c r="M1166" s="15"/>
      <c r="N1166" s="15">
        <f t="shared" si="205"/>
        <v>0</v>
      </c>
      <c r="O1166" s="15" t="str">
        <f>IF(AND(A1166='BANG KE NL'!$M$11,TH!C1166="NL",LEFT(D1166,1)="N"),"x","")</f>
        <v/>
      </c>
    </row>
    <row r="1167" spans="1:15" hidden="1">
      <c r="A1167" s="24" t="str">
        <f t="shared" si="203"/>
        <v/>
      </c>
      <c r="B1167" s="176" t="str">
        <f>IF(AND(MONTH(E1167)='IN-NX'!$J$5,'IN-NX'!$D$7=(D1167&amp;"/"&amp;C1167)),"x","")</f>
        <v/>
      </c>
      <c r="C1167" s="173"/>
      <c r="D1167" s="173"/>
      <c r="E1167" s="70"/>
      <c r="F1167" s="62"/>
      <c r="G1167" s="19"/>
      <c r="H1167" s="178"/>
      <c r="I1167" s="57"/>
      <c r="J1167" s="15"/>
      <c r="K1167" s="15"/>
      <c r="L1167" s="15">
        <f t="shared" si="204"/>
        <v>0</v>
      </c>
      <c r="M1167" s="15"/>
      <c r="N1167" s="15">
        <f t="shared" si="205"/>
        <v>0</v>
      </c>
      <c r="O1167" s="15" t="str">
        <f>IF(AND(A1167='BANG KE NL'!$M$11,TH!C1167="NL",LEFT(D1167,1)="N"),"x","")</f>
        <v/>
      </c>
    </row>
    <row r="1168" spans="1:15" hidden="1">
      <c r="A1168" s="24" t="str">
        <f t="shared" si="203"/>
        <v/>
      </c>
      <c r="B1168" s="176" t="str">
        <f>IF(AND(MONTH(E1168)='IN-NX'!$J$5,'IN-NX'!$D$7=(D1168&amp;"/"&amp;C1168)),"x","")</f>
        <v/>
      </c>
      <c r="C1168" s="173"/>
      <c r="D1168" s="173"/>
      <c r="E1168" s="70"/>
      <c r="F1168" s="62"/>
      <c r="G1168" s="19"/>
      <c r="H1168" s="178"/>
      <c r="I1168" s="57"/>
      <c r="J1168" s="15"/>
      <c r="K1168" s="15"/>
      <c r="L1168" s="15">
        <f t="shared" si="204"/>
        <v>0</v>
      </c>
      <c r="M1168" s="15"/>
      <c r="N1168" s="15">
        <f t="shared" si="205"/>
        <v>0</v>
      </c>
      <c r="O1168" s="15" t="str">
        <f>IF(AND(A1168='BANG KE NL'!$M$11,TH!C1168="NL",LEFT(D1168,1)="N"),"x","")</f>
        <v/>
      </c>
    </row>
    <row r="1169" spans="1:15" hidden="1">
      <c r="A1169" s="24" t="str">
        <f t="shared" si="203"/>
        <v/>
      </c>
      <c r="B1169" s="176" t="str">
        <f>IF(AND(MONTH(E1169)='IN-NX'!$J$5,'IN-NX'!$D$7=(D1169&amp;"/"&amp;C1169)),"x","")</f>
        <v/>
      </c>
      <c r="C1169" s="173"/>
      <c r="D1169" s="173"/>
      <c r="E1169" s="70"/>
      <c r="F1169" s="62"/>
      <c r="G1169" s="19"/>
      <c r="H1169" s="178"/>
      <c r="I1169" s="57"/>
      <c r="J1169" s="15"/>
      <c r="K1169" s="15"/>
      <c r="L1169" s="15">
        <f t="shared" si="204"/>
        <v>0</v>
      </c>
      <c r="M1169" s="15"/>
      <c r="N1169" s="15">
        <f t="shared" si="205"/>
        <v>0</v>
      </c>
      <c r="O1169" s="15" t="str">
        <f>IF(AND(A1169='BANG KE NL'!$M$11,TH!C1169="NL",LEFT(D1169,1)="N"),"x","")</f>
        <v/>
      </c>
    </row>
    <row r="1170" spans="1:15" hidden="1">
      <c r="A1170" s="24" t="str">
        <f t="shared" si="203"/>
        <v/>
      </c>
      <c r="B1170" s="176" t="str">
        <f>IF(AND(MONTH(E1170)='IN-NX'!$J$5,'IN-NX'!$D$7=(D1170&amp;"/"&amp;C1170)),"x","")</f>
        <v/>
      </c>
      <c r="C1170" s="173"/>
      <c r="D1170" s="173"/>
      <c r="E1170" s="70"/>
      <c r="F1170" s="62"/>
      <c r="G1170" s="19"/>
      <c r="H1170" s="178"/>
      <c r="I1170" s="57"/>
      <c r="J1170" s="15"/>
      <c r="K1170" s="15"/>
      <c r="L1170" s="15">
        <f t="shared" si="204"/>
        <v>0</v>
      </c>
      <c r="M1170" s="15"/>
      <c r="N1170" s="15">
        <f t="shared" si="205"/>
        <v>0</v>
      </c>
      <c r="O1170" s="15" t="str">
        <f>IF(AND(A1170='BANG KE NL'!$M$11,TH!C1170="NL",LEFT(D1170,1)="N"),"x","")</f>
        <v/>
      </c>
    </row>
    <row r="1171" spans="1:15" hidden="1">
      <c r="A1171" s="24" t="str">
        <f t="shared" si="203"/>
        <v/>
      </c>
      <c r="B1171" s="176" t="str">
        <f>IF(AND(MONTH(E1171)='IN-NX'!$J$5,'IN-NX'!$D$7=(D1171&amp;"/"&amp;C1171)),"x","")</f>
        <v/>
      </c>
      <c r="C1171" s="173"/>
      <c r="D1171" s="173"/>
      <c r="E1171" s="70"/>
      <c r="F1171" s="62"/>
      <c r="G1171" s="19"/>
      <c r="H1171" s="178"/>
      <c r="I1171" s="57"/>
      <c r="J1171" s="15"/>
      <c r="K1171" s="15"/>
      <c r="L1171" s="15">
        <f t="shared" si="204"/>
        <v>0</v>
      </c>
      <c r="M1171" s="15"/>
      <c r="N1171" s="15">
        <f t="shared" si="205"/>
        <v>0</v>
      </c>
      <c r="O1171" s="15" t="str">
        <f>IF(AND(A1171='BANG KE NL'!$M$11,TH!C1171="NL",LEFT(D1171,1)="N"),"x","")</f>
        <v/>
      </c>
    </row>
    <row r="1172" spans="1:15" hidden="1">
      <c r="A1172" s="24" t="str">
        <f t="shared" si="203"/>
        <v/>
      </c>
      <c r="B1172" s="176" t="str">
        <f>IF(AND(MONTH(E1172)='IN-NX'!$J$5,'IN-NX'!$D$7=(D1172&amp;"/"&amp;C1172)),"x","")</f>
        <v/>
      </c>
      <c r="C1172" s="173"/>
      <c r="D1172" s="173"/>
      <c r="E1172" s="70"/>
      <c r="F1172" s="62"/>
      <c r="G1172" s="19"/>
      <c r="H1172" s="178"/>
      <c r="I1172" s="57"/>
      <c r="J1172" s="15"/>
      <c r="K1172" s="15"/>
      <c r="L1172" s="15">
        <f t="shared" si="204"/>
        <v>0</v>
      </c>
      <c r="M1172" s="15"/>
      <c r="N1172" s="15">
        <f t="shared" si="205"/>
        <v>0</v>
      </c>
      <c r="O1172" s="15" t="str">
        <f>IF(AND(A1172='BANG KE NL'!$M$11,TH!C1172="NL",LEFT(D1172,1)="N"),"x","")</f>
        <v/>
      </c>
    </row>
    <row r="1173" spans="1:15" hidden="1">
      <c r="A1173" s="24" t="str">
        <f t="shared" si="203"/>
        <v/>
      </c>
      <c r="B1173" s="176" t="str">
        <f>IF(AND(MONTH(E1173)='IN-NX'!$J$5,'IN-NX'!$D$7=(D1173&amp;"/"&amp;C1173)),"x","")</f>
        <v/>
      </c>
      <c r="C1173" s="173"/>
      <c r="D1173" s="173"/>
      <c r="E1173" s="70"/>
      <c r="F1173" s="62"/>
      <c r="G1173" s="19"/>
      <c r="H1173" s="178"/>
      <c r="I1173" s="57"/>
      <c r="J1173" s="15"/>
      <c r="K1173" s="15"/>
      <c r="L1173" s="15">
        <f t="shared" si="204"/>
        <v>0</v>
      </c>
      <c r="M1173" s="15"/>
      <c r="N1173" s="15">
        <f t="shared" si="205"/>
        <v>0</v>
      </c>
      <c r="O1173" s="15" t="str">
        <f>IF(AND(A1173='BANG KE NL'!$M$11,TH!C1173="NL",LEFT(D1173,1)="N"),"x","")</f>
        <v/>
      </c>
    </row>
    <row r="1174" spans="1:15" hidden="1">
      <c r="A1174" s="24" t="str">
        <f t="shared" si="203"/>
        <v/>
      </c>
      <c r="B1174" s="176" t="str">
        <f>IF(AND(MONTH(E1174)='IN-NX'!$J$5,'IN-NX'!$D$7=(D1174&amp;"/"&amp;C1174)),"x","")</f>
        <v/>
      </c>
      <c r="C1174" s="173"/>
      <c r="D1174" s="173"/>
      <c r="E1174" s="70"/>
      <c r="F1174" s="62"/>
      <c r="G1174" s="19"/>
      <c r="H1174" s="178"/>
      <c r="I1174" s="57"/>
      <c r="J1174" s="15"/>
      <c r="K1174" s="15"/>
      <c r="L1174" s="15">
        <f t="shared" si="204"/>
        <v>0</v>
      </c>
      <c r="M1174" s="15"/>
      <c r="N1174" s="15">
        <f t="shared" si="205"/>
        <v>0</v>
      </c>
      <c r="O1174" s="15" t="str">
        <f>IF(AND(A1174='BANG KE NL'!$M$11,TH!C1174="NL",LEFT(D1174,1)="N"),"x","")</f>
        <v/>
      </c>
    </row>
    <row r="1175" spans="1:15" hidden="1">
      <c r="A1175" s="24" t="str">
        <f t="shared" si="203"/>
        <v/>
      </c>
      <c r="B1175" s="176" t="str">
        <f>IF(AND(MONTH(E1175)='IN-NX'!$J$5,'IN-NX'!$D$7=(D1175&amp;"/"&amp;C1175)),"x","")</f>
        <v/>
      </c>
      <c r="C1175" s="173"/>
      <c r="D1175" s="173"/>
      <c r="E1175" s="70"/>
      <c r="F1175" s="62"/>
      <c r="G1175" s="19"/>
      <c r="H1175" s="178"/>
      <c r="I1175" s="57"/>
      <c r="J1175" s="15"/>
      <c r="K1175" s="15"/>
      <c r="L1175" s="15">
        <f t="shared" si="204"/>
        <v>0</v>
      </c>
      <c r="M1175" s="15"/>
      <c r="N1175" s="15">
        <f t="shared" si="205"/>
        <v>0</v>
      </c>
      <c r="O1175" s="15" t="str">
        <f>IF(AND(A1175='BANG KE NL'!$M$11,TH!C1175="NL",LEFT(D1175,1)="N"),"x","")</f>
        <v/>
      </c>
    </row>
    <row r="1176" spans="1:15" hidden="1">
      <c r="A1176" s="24" t="str">
        <f t="shared" si="203"/>
        <v/>
      </c>
      <c r="B1176" s="176" t="str">
        <f>IF(AND(MONTH(E1176)='IN-NX'!$J$5,'IN-NX'!$D$7=(D1176&amp;"/"&amp;C1176)),"x","")</f>
        <v/>
      </c>
      <c r="C1176" s="173"/>
      <c r="D1176" s="173"/>
      <c r="E1176" s="70"/>
      <c r="F1176" s="62"/>
      <c r="G1176" s="19"/>
      <c r="H1176" s="178"/>
      <c r="I1176" s="57"/>
      <c r="J1176" s="15"/>
      <c r="K1176" s="15"/>
      <c r="L1176" s="15">
        <f t="shared" si="204"/>
        <v>0</v>
      </c>
      <c r="M1176" s="15"/>
      <c r="N1176" s="15">
        <f t="shared" si="205"/>
        <v>0</v>
      </c>
      <c r="O1176" s="15" t="str">
        <f>IF(AND(A1176='BANG KE NL'!$M$11,TH!C1176="NL",LEFT(D1176,1)="N"),"x","")</f>
        <v/>
      </c>
    </row>
    <row r="1177" spans="1:15" hidden="1">
      <c r="A1177" s="24" t="str">
        <f t="shared" si="203"/>
        <v/>
      </c>
      <c r="B1177" s="176" t="str">
        <f>IF(AND(MONTH(E1177)='IN-NX'!$J$5,'IN-NX'!$D$7=(D1177&amp;"/"&amp;C1177)),"x","")</f>
        <v/>
      </c>
      <c r="C1177" s="173"/>
      <c r="D1177" s="173"/>
      <c r="E1177" s="70"/>
      <c r="F1177" s="62"/>
      <c r="G1177" s="19"/>
      <c r="H1177" s="178"/>
      <c r="I1177" s="57"/>
      <c r="J1177" s="15"/>
      <c r="K1177" s="15"/>
      <c r="L1177" s="15">
        <f t="shared" si="204"/>
        <v>0</v>
      </c>
      <c r="M1177" s="15"/>
      <c r="N1177" s="15">
        <f t="shared" si="205"/>
        <v>0</v>
      </c>
      <c r="O1177" s="15" t="str">
        <f>IF(AND(A1177='BANG KE NL'!$M$11,TH!C1177="NL",LEFT(D1177,1)="N"),"x","")</f>
        <v/>
      </c>
    </row>
    <row r="1178" spans="1:15" hidden="1">
      <c r="A1178" s="24" t="str">
        <f t="shared" si="203"/>
        <v/>
      </c>
      <c r="B1178" s="176" t="str">
        <f>IF(AND(MONTH(E1178)='IN-NX'!$J$5,'IN-NX'!$D$7=(D1178&amp;"/"&amp;C1178)),"x","")</f>
        <v/>
      </c>
      <c r="C1178" s="173"/>
      <c r="D1178" s="173"/>
      <c r="E1178" s="70"/>
      <c r="F1178" s="62"/>
      <c r="G1178" s="19"/>
      <c r="H1178" s="178"/>
      <c r="I1178" s="57"/>
      <c r="J1178" s="15"/>
      <c r="K1178" s="15"/>
      <c r="L1178" s="15">
        <f t="shared" si="204"/>
        <v>0</v>
      </c>
      <c r="M1178" s="15"/>
      <c r="N1178" s="15">
        <f t="shared" si="205"/>
        <v>0</v>
      </c>
      <c r="O1178" s="15" t="str">
        <f>IF(AND(A1178='BANG KE NL'!$M$11,TH!C1178="NL",LEFT(D1178,1)="N"),"x","")</f>
        <v/>
      </c>
    </row>
    <row r="1179" spans="1:15" hidden="1">
      <c r="A1179" s="24" t="str">
        <f t="shared" si="203"/>
        <v/>
      </c>
      <c r="B1179" s="176" t="str">
        <f>IF(AND(MONTH(E1179)='IN-NX'!$J$5,'IN-NX'!$D$7=(D1179&amp;"/"&amp;C1179)),"x","")</f>
        <v/>
      </c>
      <c r="C1179" s="173"/>
      <c r="D1179" s="173"/>
      <c r="E1179" s="70"/>
      <c r="F1179" s="62"/>
      <c r="G1179" s="19"/>
      <c r="H1179" s="178"/>
      <c r="I1179" s="57"/>
      <c r="J1179" s="15"/>
      <c r="K1179" s="15"/>
      <c r="L1179" s="15">
        <f t="shared" si="204"/>
        <v>0</v>
      </c>
      <c r="M1179" s="15"/>
      <c r="N1179" s="15">
        <f t="shared" si="205"/>
        <v>0</v>
      </c>
      <c r="O1179" s="15" t="str">
        <f>IF(AND(A1179='BANG KE NL'!$M$11,TH!C1179="NL",LEFT(D1179,1)="N"),"x","")</f>
        <v/>
      </c>
    </row>
    <row r="1180" spans="1:15" hidden="1">
      <c r="A1180" s="24" t="str">
        <f t="shared" si="203"/>
        <v/>
      </c>
      <c r="B1180" s="176" t="str">
        <f>IF(AND(MONTH(E1180)='IN-NX'!$J$5,'IN-NX'!$D$7=(D1180&amp;"/"&amp;C1180)),"x","")</f>
        <v/>
      </c>
      <c r="C1180" s="173"/>
      <c r="D1180" s="173"/>
      <c r="E1180" s="70"/>
      <c r="F1180" s="62"/>
      <c r="G1180" s="19"/>
      <c r="H1180" s="178"/>
      <c r="I1180" s="57"/>
      <c r="J1180" s="15"/>
      <c r="K1180" s="15"/>
      <c r="L1180" s="15">
        <f t="shared" si="204"/>
        <v>0</v>
      </c>
      <c r="M1180" s="15"/>
      <c r="N1180" s="15">
        <f t="shared" si="205"/>
        <v>0</v>
      </c>
      <c r="O1180" s="15" t="str">
        <f>IF(AND(A1180='BANG KE NL'!$M$11,TH!C1180="NL",LEFT(D1180,1)="N"),"x","")</f>
        <v/>
      </c>
    </row>
    <row r="1181" spans="1:15" hidden="1">
      <c r="A1181" s="24" t="str">
        <f t="shared" si="203"/>
        <v/>
      </c>
      <c r="B1181" s="176" t="str">
        <f>IF(AND(MONTH(E1181)='IN-NX'!$J$5,'IN-NX'!$D$7=(D1181&amp;"/"&amp;C1181)),"x","")</f>
        <v/>
      </c>
      <c r="C1181" s="173"/>
      <c r="D1181" s="173"/>
      <c r="E1181" s="70"/>
      <c r="F1181" s="62"/>
      <c r="G1181" s="19"/>
      <c r="H1181" s="178"/>
      <c r="I1181" s="57"/>
      <c r="J1181" s="15"/>
      <c r="K1181" s="15"/>
      <c r="L1181" s="15">
        <f t="shared" si="204"/>
        <v>0</v>
      </c>
      <c r="M1181" s="15"/>
      <c r="N1181" s="15">
        <f t="shared" si="205"/>
        <v>0</v>
      </c>
      <c r="O1181" s="15" t="str">
        <f>IF(AND(A1181='BANG KE NL'!$M$11,TH!C1181="NL",LEFT(D1181,1)="N"),"x","")</f>
        <v/>
      </c>
    </row>
    <row r="1182" spans="1:15" hidden="1">
      <c r="A1182" s="24" t="str">
        <f t="shared" si="203"/>
        <v/>
      </c>
      <c r="B1182" s="176" t="str">
        <f>IF(AND(MONTH(E1182)='IN-NX'!$J$5,'IN-NX'!$D$7=(D1182&amp;"/"&amp;C1182)),"x","")</f>
        <v/>
      </c>
      <c r="C1182" s="173"/>
      <c r="D1182" s="173"/>
      <c r="E1182" s="70"/>
      <c r="F1182" s="62"/>
      <c r="G1182" s="19"/>
      <c r="H1182" s="178"/>
      <c r="I1182" s="57"/>
      <c r="J1182" s="15"/>
      <c r="K1182" s="15"/>
      <c r="L1182" s="15">
        <f t="shared" si="204"/>
        <v>0</v>
      </c>
      <c r="M1182" s="15"/>
      <c r="N1182" s="15">
        <f t="shared" si="205"/>
        <v>0</v>
      </c>
      <c r="O1182" s="15" t="str">
        <f>IF(AND(A1182='BANG KE NL'!$M$11,TH!C1182="NL",LEFT(D1182,1)="N"),"x","")</f>
        <v/>
      </c>
    </row>
    <row r="1183" spans="1:15" hidden="1">
      <c r="A1183" s="24" t="str">
        <f t="shared" si="203"/>
        <v/>
      </c>
      <c r="B1183" s="176" t="str">
        <f>IF(AND(MONTH(E1183)='IN-NX'!$J$5,'IN-NX'!$D$7=(D1183&amp;"/"&amp;C1183)),"x","")</f>
        <v/>
      </c>
      <c r="C1183" s="173"/>
      <c r="D1183" s="173"/>
      <c r="E1183" s="70"/>
      <c r="F1183" s="62"/>
      <c r="G1183" s="19"/>
      <c r="H1183" s="178"/>
      <c r="I1183" s="57"/>
      <c r="J1183" s="15"/>
      <c r="K1183" s="15"/>
      <c r="L1183" s="15">
        <f t="shared" si="204"/>
        <v>0</v>
      </c>
      <c r="M1183" s="15"/>
      <c r="N1183" s="15">
        <f t="shared" si="205"/>
        <v>0</v>
      </c>
      <c r="O1183" s="15" t="str">
        <f>IF(AND(A1183='BANG KE NL'!$M$11,TH!C1183="NL",LEFT(D1183,1)="N"),"x","")</f>
        <v/>
      </c>
    </row>
    <row r="1184" spans="1:15" hidden="1">
      <c r="A1184" s="24" t="str">
        <f t="shared" si="203"/>
        <v/>
      </c>
      <c r="B1184" s="176" t="str">
        <f>IF(AND(MONTH(E1184)='IN-NX'!$J$5,'IN-NX'!$D$7=(D1184&amp;"/"&amp;C1184)),"x","")</f>
        <v/>
      </c>
      <c r="C1184" s="173"/>
      <c r="D1184" s="173"/>
      <c r="E1184" s="70"/>
      <c r="F1184" s="62"/>
      <c r="G1184" s="19"/>
      <c r="H1184" s="178"/>
      <c r="I1184" s="57"/>
      <c r="J1184" s="15"/>
      <c r="K1184" s="15"/>
      <c r="L1184" s="15">
        <f t="shared" si="204"/>
        <v>0</v>
      </c>
      <c r="M1184" s="15"/>
      <c r="N1184" s="15">
        <f t="shared" si="205"/>
        <v>0</v>
      </c>
      <c r="O1184" s="15" t="str">
        <f>IF(AND(A1184='BANG KE NL'!$M$11,TH!C1184="NL",LEFT(D1184,1)="N"),"x","")</f>
        <v/>
      </c>
    </row>
    <row r="1185" spans="1:15" hidden="1">
      <c r="A1185" s="24" t="str">
        <f t="shared" si="203"/>
        <v/>
      </c>
      <c r="B1185" s="176" t="str">
        <f>IF(AND(MONTH(E1185)='IN-NX'!$J$5,'IN-NX'!$D$7=(D1185&amp;"/"&amp;C1185)),"x","")</f>
        <v/>
      </c>
      <c r="C1185" s="173"/>
      <c r="D1185" s="173"/>
      <c r="E1185" s="70"/>
      <c r="F1185" s="62"/>
      <c r="G1185" s="19"/>
      <c r="H1185" s="178"/>
      <c r="I1185" s="57"/>
      <c r="J1185" s="15"/>
      <c r="K1185" s="15"/>
      <c r="L1185" s="15">
        <f t="shared" si="204"/>
        <v>0</v>
      </c>
      <c r="M1185" s="15"/>
      <c r="N1185" s="15">
        <f t="shared" si="205"/>
        <v>0</v>
      </c>
      <c r="O1185" s="15" t="str">
        <f>IF(AND(A1185='BANG KE NL'!$M$11,TH!C1185="NL",LEFT(D1185,1)="N"),"x","")</f>
        <v/>
      </c>
    </row>
    <row r="1186" spans="1:15" hidden="1">
      <c r="A1186" s="24" t="str">
        <f t="shared" si="203"/>
        <v/>
      </c>
      <c r="B1186" s="176" t="str">
        <f>IF(AND(MONTH(E1186)='IN-NX'!$J$5,'IN-NX'!$D$7=(D1186&amp;"/"&amp;C1186)),"x","")</f>
        <v/>
      </c>
      <c r="C1186" s="173"/>
      <c r="D1186" s="173"/>
      <c r="E1186" s="70"/>
      <c r="F1186" s="62"/>
      <c r="G1186" s="19"/>
      <c r="H1186" s="178"/>
      <c r="I1186" s="57"/>
      <c r="J1186" s="15"/>
      <c r="K1186" s="15"/>
      <c r="L1186" s="15">
        <f t="shared" si="204"/>
        <v>0</v>
      </c>
      <c r="M1186" s="15"/>
      <c r="N1186" s="15">
        <f t="shared" si="205"/>
        <v>0</v>
      </c>
      <c r="O1186" s="15" t="str">
        <f>IF(AND(A1186='BANG KE NL'!$M$11,TH!C1186="NL",LEFT(D1186,1)="N"),"x","")</f>
        <v/>
      </c>
    </row>
    <row r="1187" spans="1:15" hidden="1">
      <c r="A1187" s="24" t="str">
        <f t="shared" si="203"/>
        <v/>
      </c>
      <c r="B1187" s="176" t="str">
        <f>IF(AND(MONTH(E1187)='IN-NX'!$J$5,'IN-NX'!$D$7=(D1187&amp;"/"&amp;C1187)),"x","")</f>
        <v/>
      </c>
      <c r="C1187" s="173"/>
      <c r="D1187" s="173"/>
      <c r="E1187" s="70"/>
      <c r="F1187" s="62"/>
      <c r="G1187" s="19"/>
      <c r="H1187" s="178"/>
      <c r="I1187" s="57"/>
      <c r="J1187" s="15"/>
      <c r="K1187" s="15"/>
      <c r="L1187" s="15">
        <f t="shared" si="204"/>
        <v>0</v>
      </c>
      <c r="M1187" s="15"/>
      <c r="N1187" s="15">
        <f t="shared" si="205"/>
        <v>0</v>
      </c>
      <c r="O1187" s="15" t="str">
        <f>IF(AND(A1187='BANG KE NL'!$M$11,TH!C1187="NL",LEFT(D1187,1)="N"),"x","")</f>
        <v/>
      </c>
    </row>
    <row r="1188" spans="1:15" hidden="1">
      <c r="A1188" s="24" t="str">
        <f t="shared" si="203"/>
        <v/>
      </c>
      <c r="B1188" s="176" t="str">
        <f>IF(AND(MONTH(E1188)='IN-NX'!$J$5,'IN-NX'!$D$7=(D1188&amp;"/"&amp;C1188)),"x","")</f>
        <v/>
      </c>
      <c r="C1188" s="173"/>
      <c r="D1188" s="173"/>
      <c r="E1188" s="70"/>
      <c r="F1188" s="62"/>
      <c r="G1188" s="19"/>
      <c r="H1188" s="178"/>
      <c r="I1188" s="57"/>
      <c r="J1188" s="15"/>
      <c r="K1188" s="15"/>
      <c r="L1188" s="15">
        <f t="shared" si="204"/>
        <v>0</v>
      </c>
      <c r="M1188" s="15"/>
      <c r="N1188" s="15">
        <f t="shared" si="205"/>
        <v>0</v>
      </c>
      <c r="O1188" s="15" t="str">
        <f>IF(AND(A1188='BANG KE NL'!$M$11,TH!C1188="NL",LEFT(D1188,1)="N"),"x","")</f>
        <v/>
      </c>
    </row>
    <row r="1189" spans="1:15" hidden="1">
      <c r="A1189" s="24" t="str">
        <f t="shared" ref="A1189:A1252" si="206">IF(E1189&lt;&gt;"",MONTH(E1189),"")</f>
        <v/>
      </c>
      <c r="B1189" s="176" t="str">
        <f>IF(AND(MONTH(E1189)='IN-NX'!$J$5,'IN-NX'!$D$7=(D1189&amp;"/"&amp;C1189)),"x","")</f>
        <v/>
      </c>
      <c r="C1189" s="173"/>
      <c r="D1189" s="173"/>
      <c r="E1189" s="70"/>
      <c r="F1189" s="62"/>
      <c r="G1189" s="19"/>
      <c r="H1189" s="178"/>
      <c r="I1189" s="57"/>
      <c r="J1189" s="15"/>
      <c r="K1189" s="15"/>
      <c r="L1189" s="15">
        <f t="shared" si="204"/>
        <v>0</v>
      </c>
      <c r="M1189" s="15"/>
      <c r="N1189" s="15">
        <f t="shared" si="205"/>
        <v>0</v>
      </c>
      <c r="O1189" s="15" t="str">
        <f>IF(AND(A1189='BANG KE NL'!$M$11,TH!C1189="NL",LEFT(D1189,1)="N"),"x","")</f>
        <v/>
      </c>
    </row>
    <row r="1190" spans="1:15" hidden="1">
      <c r="A1190" s="24" t="str">
        <f t="shared" si="206"/>
        <v/>
      </c>
      <c r="B1190" s="176" t="str">
        <f>IF(AND(MONTH(E1190)='IN-NX'!$J$5,'IN-NX'!$D$7=(D1190&amp;"/"&amp;C1190)),"x","")</f>
        <v/>
      </c>
      <c r="C1190" s="173"/>
      <c r="D1190" s="173"/>
      <c r="E1190" s="70"/>
      <c r="F1190" s="62"/>
      <c r="G1190" s="19"/>
      <c r="H1190" s="178"/>
      <c r="I1190" s="57"/>
      <c r="J1190" s="15"/>
      <c r="K1190" s="15"/>
      <c r="L1190" s="15">
        <f t="shared" si="204"/>
        <v>0</v>
      </c>
      <c r="M1190" s="15"/>
      <c r="N1190" s="15">
        <f t="shared" si="205"/>
        <v>0</v>
      </c>
      <c r="O1190" s="15" t="str">
        <f>IF(AND(A1190='BANG KE NL'!$M$11,TH!C1190="NL",LEFT(D1190,1)="N"),"x","")</f>
        <v/>
      </c>
    </row>
    <row r="1191" spans="1:15" hidden="1">
      <c r="A1191" s="24" t="str">
        <f t="shared" si="206"/>
        <v/>
      </c>
      <c r="B1191" s="176" t="str">
        <f>IF(AND(MONTH(E1191)='IN-NX'!$J$5,'IN-NX'!$D$7=(D1191&amp;"/"&amp;C1191)),"x","")</f>
        <v/>
      </c>
      <c r="C1191" s="173"/>
      <c r="D1191" s="173"/>
      <c r="E1191" s="70"/>
      <c r="F1191" s="62"/>
      <c r="G1191" s="19"/>
      <c r="H1191" s="178"/>
      <c r="I1191" s="57"/>
      <c r="J1191" s="15"/>
      <c r="K1191" s="15"/>
      <c r="L1191" s="15">
        <f t="shared" si="204"/>
        <v>0</v>
      </c>
      <c r="M1191" s="15"/>
      <c r="N1191" s="15">
        <f t="shared" si="205"/>
        <v>0</v>
      </c>
      <c r="O1191" s="15" t="str">
        <f>IF(AND(A1191='BANG KE NL'!$M$11,TH!C1191="NL",LEFT(D1191,1)="N"),"x","")</f>
        <v/>
      </c>
    </row>
    <row r="1192" spans="1:15" hidden="1">
      <c r="A1192" s="24" t="str">
        <f t="shared" si="206"/>
        <v/>
      </c>
      <c r="B1192" s="176" t="str">
        <f>IF(AND(MONTH(E1192)='IN-NX'!$J$5,'IN-NX'!$D$7=(D1192&amp;"/"&amp;C1192)),"x","")</f>
        <v/>
      </c>
      <c r="C1192" s="173"/>
      <c r="D1192" s="173"/>
      <c r="E1192" s="70"/>
      <c r="F1192" s="62"/>
      <c r="G1192" s="19"/>
      <c r="H1192" s="178"/>
      <c r="I1192" s="57"/>
      <c r="J1192" s="15"/>
      <c r="K1192" s="15"/>
      <c r="L1192" s="15">
        <f t="shared" si="204"/>
        <v>0</v>
      </c>
      <c r="M1192" s="15"/>
      <c r="N1192" s="15">
        <f t="shared" si="205"/>
        <v>0</v>
      </c>
      <c r="O1192" s="15" t="str">
        <f>IF(AND(A1192='BANG KE NL'!$M$11,TH!C1192="NL",LEFT(D1192,1)="N"),"x","")</f>
        <v/>
      </c>
    </row>
    <row r="1193" spans="1:15" hidden="1">
      <c r="A1193" s="24" t="str">
        <f t="shared" si="206"/>
        <v/>
      </c>
      <c r="B1193" s="176" t="str">
        <f>IF(AND(MONTH(E1193)='IN-NX'!$J$5,'IN-NX'!$D$7=(D1193&amp;"/"&amp;C1193)),"x","")</f>
        <v/>
      </c>
      <c r="C1193" s="173"/>
      <c r="D1193" s="173"/>
      <c r="E1193" s="70"/>
      <c r="F1193" s="62"/>
      <c r="G1193" s="19"/>
      <c r="H1193" s="178"/>
      <c r="I1193" s="57"/>
      <c r="J1193" s="15"/>
      <c r="K1193" s="15"/>
      <c r="L1193" s="15">
        <f t="shared" si="204"/>
        <v>0</v>
      </c>
      <c r="M1193" s="15"/>
      <c r="N1193" s="15">
        <f t="shared" si="205"/>
        <v>0</v>
      </c>
      <c r="O1193" s="15" t="str">
        <f>IF(AND(A1193='BANG KE NL'!$M$11,TH!C1193="NL",LEFT(D1193,1)="N"),"x","")</f>
        <v/>
      </c>
    </row>
    <row r="1194" spans="1:15" hidden="1">
      <c r="A1194" s="24" t="str">
        <f t="shared" si="206"/>
        <v/>
      </c>
      <c r="B1194" s="176" t="str">
        <f>IF(AND(MONTH(E1194)='IN-NX'!$J$5,'IN-NX'!$D$7=(D1194&amp;"/"&amp;C1194)),"x","")</f>
        <v/>
      </c>
      <c r="C1194" s="173"/>
      <c r="D1194" s="173"/>
      <c r="E1194" s="70"/>
      <c r="F1194" s="62"/>
      <c r="G1194" s="19"/>
      <c r="H1194" s="178"/>
      <c r="I1194" s="57"/>
      <c r="J1194" s="15"/>
      <c r="K1194" s="15"/>
      <c r="L1194" s="15">
        <f t="shared" si="204"/>
        <v>0</v>
      </c>
      <c r="M1194" s="15"/>
      <c r="N1194" s="15">
        <f t="shared" si="205"/>
        <v>0</v>
      </c>
      <c r="O1194" s="15" t="str">
        <f>IF(AND(A1194='BANG KE NL'!$M$11,TH!C1194="NL",LEFT(D1194,1)="N"),"x","")</f>
        <v/>
      </c>
    </row>
    <row r="1195" spans="1:15" hidden="1">
      <c r="A1195" s="24" t="str">
        <f t="shared" si="206"/>
        <v/>
      </c>
      <c r="B1195" s="176" t="str">
        <f>IF(AND(MONTH(E1195)='IN-NX'!$J$5,'IN-NX'!$D$7=(D1195&amp;"/"&amp;C1195)),"x","")</f>
        <v/>
      </c>
      <c r="C1195" s="173"/>
      <c r="D1195" s="173"/>
      <c r="E1195" s="70"/>
      <c r="F1195" s="62"/>
      <c r="G1195" s="19"/>
      <c r="H1195" s="178"/>
      <c r="I1195" s="57"/>
      <c r="J1195" s="15"/>
      <c r="K1195" s="15"/>
      <c r="L1195" s="15">
        <f t="shared" si="204"/>
        <v>0</v>
      </c>
      <c r="M1195" s="15"/>
      <c r="N1195" s="15">
        <f t="shared" si="205"/>
        <v>0</v>
      </c>
      <c r="O1195" s="15" t="str">
        <f>IF(AND(A1195='BANG KE NL'!$M$11,TH!C1195="NL",LEFT(D1195,1)="N"),"x","")</f>
        <v/>
      </c>
    </row>
    <row r="1196" spans="1:15" hidden="1">
      <c r="A1196" s="24" t="str">
        <f t="shared" si="206"/>
        <v/>
      </c>
      <c r="B1196" s="176" t="str">
        <f>IF(AND(MONTH(E1196)='IN-NX'!$J$5,'IN-NX'!$D$7=(D1196&amp;"/"&amp;C1196)),"x","")</f>
        <v/>
      </c>
      <c r="C1196" s="173"/>
      <c r="D1196" s="173"/>
      <c r="E1196" s="70"/>
      <c r="F1196" s="62"/>
      <c r="G1196" s="19"/>
      <c r="H1196" s="178"/>
      <c r="I1196" s="57"/>
      <c r="J1196" s="15"/>
      <c r="K1196" s="15"/>
      <c r="L1196" s="15">
        <f t="shared" si="204"/>
        <v>0</v>
      </c>
      <c r="M1196" s="15"/>
      <c r="N1196" s="15">
        <f t="shared" si="205"/>
        <v>0</v>
      </c>
      <c r="O1196" s="15" t="str">
        <f>IF(AND(A1196='BANG KE NL'!$M$11,TH!C1196="NL",LEFT(D1196,1)="N"),"x","")</f>
        <v/>
      </c>
    </row>
    <row r="1197" spans="1:15" hidden="1">
      <c r="A1197" s="24" t="str">
        <f t="shared" si="206"/>
        <v/>
      </c>
      <c r="B1197" s="176" t="str">
        <f>IF(AND(MONTH(E1197)='IN-NX'!$J$5,'IN-NX'!$D$7=(D1197&amp;"/"&amp;C1197)),"x","")</f>
        <v/>
      </c>
      <c r="C1197" s="173"/>
      <c r="D1197" s="173"/>
      <c r="E1197" s="70"/>
      <c r="F1197" s="62"/>
      <c r="G1197" s="19"/>
      <c r="H1197" s="178"/>
      <c r="I1197" s="57"/>
      <c r="J1197" s="15"/>
      <c r="K1197" s="15"/>
      <c r="L1197" s="15">
        <f t="shared" ref="L1197:L1260" si="207">ROUND(J1197*K1197,0)</f>
        <v>0</v>
      </c>
      <c r="M1197" s="15"/>
      <c r="N1197" s="15">
        <f t="shared" ref="N1197:N1260" si="208">ROUND(J1197*M1197,0)</f>
        <v>0</v>
      </c>
      <c r="O1197" s="15" t="str">
        <f>IF(AND(A1197='BANG KE NL'!$M$11,TH!C1197="NL",LEFT(D1197,1)="N"),"x","")</f>
        <v/>
      </c>
    </row>
    <row r="1198" spans="1:15" hidden="1">
      <c r="A1198" s="24" t="str">
        <f t="shared" si="206"/>
        <v/>
      </c>
      <c r="B1198" s="176" t="str">
        <f>IF(AND(MONTH(E1198)='IN-NX'!$J$5,'IN-NX'!$D$7=(D1198&amp;"/"&amp;C1198)),"x","")</f>
        <v/>
      </c>
      <c r="C1198" s="173"/>
      <c r="D1198" s="173"/>
      <c r="E1198" s="70"/>
      <c r="F1198" s="62"/>
      <c r="G1198" s="19"/>
      <c r="H1198" s="178"/>
      <c r="I1198" s="57"/>
      <c r="J1198" s="15"/>
      <c r="K1198" s="15"/>
      <c r="L1198" s="15">
        <f t="shared" si="207"/>
        <v>0</v>
      </c>
      <c r="M1198" s="15"/>
      <c r="N1198" s="15">
        <f t="shared" si="208"/>
        <v>0</v>
      </c>
      <c r="O1198" s="15" t="str">
        <f>IF(AND(A1198='BANG KE NL'!$M$11,TH!C1198="NL",LEFT(D1198,1)="N"),"x","")</f>
        <v/>
      </c>
    </row>
    <row r="1199" spans="1:15" hidden="1">
      <c r="A1199" s="24" t="str">
        <f t="shared" si="206"/>
        <v/>
      </c>
      <c r="B1199" s="176" t="str">
        <f>IF(AND(MONTH(E1199)='IN-NX'!$J$5,'IN-NX'!$D$7=(D1199&amp;"/"&amp;C1199)),"x","")</f>
        <v/>
      </c>
      <c r="C1199" s="173"/>
      <c r="D1199" s="173"/>
      <c r="E1199" s="70"/>
      <c r="F1199" s="62"/>
      <c r="G1199" s="19"/>
      <c r="H1199" s="178"/>
      <c r="I1199" s="57"/>
      <c r="J1199" s="15"/>
      <c r="K1199" s="15"/>
      <c r="L1199" s="15">
        <f t="shared" si="207"/>
        <v>0</v>
      </c>
      <c r="M1199" s="15"/>
      <c r="N1199" s="15">
        <f t="shared" si="208"/>
        <v>0</v>
      </c>
      <c r="O1199" s="15" t="str">
        <f>IF(AND(A1199='BANG KE NL'!$M$11,TH!C1199="NL",LEFT(D1199,1)="N"),"x","")</f>
        <v/>
      </c>
    </row>
    <row r="1200" spans="1:15" hidden="1">
      <c r="A1200" s="24" t="str">
        <f t="shared" si="206"/>
        <v/>
      </c>
      <c r="B1200" s="176" t="str">
        <f>IF(AND(MONTH(E1200)='IN-NX'!$J$5,'IN-NX'!$D$7=(D1200&amp;"/"&amp;C1200)),"x","")</f>
        <v/>
      </c>
      <c r="C1200" s="173"/>
      <c r="D1200" s="173"/>
      <c r="E1200" s="70"/>
      <c r="F1200" s="62"/>
      <c r="G1200" s="19"/>
      <c r="H1200" s="178"/>
      <c r="I1200" s="57"/>
      <c r="J1200" s="15"/>
      <c r="K1200" s="15"/>
      <c r="L1200" s="15">
        <f t="shared" si="207"/>
        <v>0</v>
      </c>
      <c r="M1200" s="15"/>
      <c r="N1200" s="15">
        <f t="shared" si="208"/>
        <v>0</v>
      </c>
      <c r="O1200" s="15" t="str">
        <f>IF(AND(A1200='BANG KE NL'!$M$11,TH!C1200="NL",LEFT(D1200,1)="N"),"x","")</f>
        <v/>
      </c>
    </row>
    <row r="1201" spans="1:15" hidden="1">
      <c r="A1201" s="24" t="str">
        <f t="shared" si="206"/>
        <v/>
      </c>
      <c r="B1201" s="176" t="str">
        <f>IF(AND(MONTH(E1201)='IN-NX'!$J$5,'IN-NX'!$D$7=(D1201&amp;"/"&amp;C1201)),"x","")</f>
        <v/>
      </c>
      <c r="C1201" s="173"/>
      <c r="D1201" s="173"/>
      <c r="E1201" s="70"/>
      <c r="F1201" s="62"/>
      <c r="G1201" s="19"/>
      <c r="H1201" s="178"/>
      <c r="I1201" s="57"/>
      <c r="J1201" s="15"/>
      <c r="K1201" s="15"/>
      <c r="L1201" s="15">
        <f t="shared" si="207"/>
        <v>0</v>
      </c>
      <c r="M1201" s="15"/>
      <c r="N1201" s="15">
        <f t="shared" si="208"/>
        <v>0</v>
      </c>
      <c r="O1201" s="15" t="str">
        <f>IF(AND(A1201='BANG KE NL'!$M$11,TH!C1201="NL",LEFT(D1201,1)="N"),"x","")</f>
        <v/>
      </c>
    </row>
    <row r="1202" spans="1:15" hidden="1">
      <c r="A1202" s="24" t="str">
        <f t="shared" si="206"/>
        <v/>
      </c>
      <c r="B1202" s="176" t="str">
        <f>IF(AND(MONTH(E1202)='IN-NX'!$J$5,'IN-NX'!$D$7=(D1202&amp;"/"&amp;C1202)),"x","")</f>
        <v/>
      </c>
      <c r="C1202" s="173"/>
      <c r="D1202" s="173"/>
      <c r="E1202" s="70"/>
      <c r="F1202" s="62"/>
      <c r="G1202" s="19"/>
      <c r="H1202" s="178"/>
      <c r="I1202" s="57"/>
      <c r="J1202" s="15"/>
      <c r="K1202" s="15"/>
      <c r="L1202" s="15">
        <f t="shared" si="207"/>
        <v>0</v>
      </c>
      <c r="M1202" s="15"/>
      <c r="N1202" s="15">
        <f t="shared" si="208"/>
        <v>0</v>
      </c>
      <c r="O1202" s="15" t="str">
        <f>IF(AND(A1202='BANG KE NL'!$M$11,TH!C1202="NL",LEFT(D1202,1)="N"),"x","")</f>
        <v/>
      </c>
    </row>
    <row r="1203" spans="1:15" hidden="1">
      <c r="A1203" s="24" t="str">
        <f t="shared" si="206"/>
        <v/>
      </c>
      <c r="B1203" s="176" t="str">
        <f>IF(AND(MONTH(E1203)='IN-NX'!$J$5,'IN-NX'!$D$7=(D1203&amp;"/"&amp;C1203)),"x","")</f>
        <v/>
      </c>
      <c r="C1203" s="173"/>
      <c r="D1203" s="173"/>
      <c r="E1203" s="70"/>
      <c r="F1203" s="62"/>
      <c r="G1203" s="19"/>
      <c r="H1203" s="178"/>
      <c r="I1203" s="57"/>
      <c r="J1203" s="15"/>
      <c r="K1203" s="15"/>
      <c r="L1203" s="15">
        <f t="shared" si="207"/>
        <v>0</v>
      </c>
      <c r="M1203" s="15"/>
      <c r="N1203" s="15">
        <f t="shared" si="208"/>
        <v>0</v>
      </c>
      <c r="O1203" s="15" t="str">
        <f>IF(AND(A1203='BANG KE NL'!$M$11,TH!C1203="NL",LEFT(D1203,1)="N"),"x","")</f>
        <v/>
      </c>
    </row>
    <row r="1204" spans="1:15" hidden="1">
      <c r="A1204" s="24" t="str">
        <f t="shared" si="206"/>
        <v/>
      </c>
      <c r="B1204" s="176" t="str">
        <f>IF(AND(MONTH(E1204)='IN-NX'!$J$5,'IN-NX'!$D$7=(D1204&amp;"/"&amp;C1204)),"x","")</f>
        <v/>
      </c>
      <c r="C1204" s="173"/>
      <c r="D1204" s="173"/>
      <c r="E1204" s="70"/>
      <c r="F1204" s="62"/>
      <c r="G1204" s="19"/>
      <c r="H1204" s="178"/>
      <c r="I1204" s="57"/>
      <c r="J1204" s="15"/>
      <c r="K1204" s="15"/>
      <c r="L1204" s="15">
        <f t="shared" si="207"/>
        <v>0</v>
      </c>
      <c r="M1204" s="15"/>
      <c r="N1204" s="15">
        <f t="shared" si="208"/>
        <v>0</v>
      </c>
      <c r="O1204" s="15" t="str">
        <f>IF(AND(A1204='BANG KE NL'!$M$11,TH!C1204="NL",LEFT(D1204,1)="N"),"x","")</f>
        <v/>
      </c>
    </row>
    <row r="1205" spans="1:15" hidden="1">
      <c r="A1205" s="24" t="str">
        <f t="shared" si="206"/>
        <v/>
      </c>
      <c r="B1205" s="176" t="str">
        <f>IF(AND(MONTH(E1205)='IN-NX'!$J$5,'IN-NX'!$D$7=(D1205&amp;"/"&amp;C1205)),"x","")</f>
        <v/>
      </c>
      <c r="C1205" s="173"/>
      <c r="D1205" s="173"/>
      <c r="E1205" s="70"/>
      <c r="F1205" s="62"/>
      <c r="G1205" s="19"/>
      <c r="H1205" s="178"/>
      <c r="I1205" s="57"/>
      <c r="J1205" s="15"/>
      <c r="K1205" s="15"/>
      <c r="L1205" s="15">
        <f t="shared" si="207"/>
        <v>0</v>
      </c>
      <c r="M1205" s="15"/>
      <c r="N1205" s="15">
        <f t="shared" si="208"/>
        <v>0</v>
      </c>
      <c r="O1205" s="15" t="str">
        <f>IF(AND(A1205='BANG KE NL'!$M$11,TH!C1205="NL",LEFT(D1205,1)="N"),"x","")</f>
        <v/>
      </c>
    </row>
    <row r="1206" spans="1:15" hidden="1">
      <c r="A1206" s="24" t="str">
        <f t="shared" si="206"/>
        <v/>
      </c>
      <c r="B1206" s="176" t="str">
        <f>IF(AND(MONTH(E1206)='IN-NX'!$J$5,'IN-NX'!$D$7=(D1206&amp;"/"&amp;C1206)),"x","")</f>
        <v/>
      </c>
      <c r="C1206" s="173"/>
      <c r="D1206" s="173"/>
      <c r="E1206" s="70"/>
      <c r="F1206" s="62"/>
      <c r="G1206" s="19"/>
      <c r="H1206" s="178"/>
      <c r="I1206" s="57"/>
      <c r="J1206" s="15"/>
      <c r="K1206" s="15"/>
      <c r="L1206" s="15">
        <f t="shared" si="207"/>
        <v>0</v>
      </c>
      <c r="M1206" s="15"/>
      <c r="N1206" s="15">
        <f t="shared" si="208"/>
        <v>0</v>
      </c>
      <c r="O1206" s="15" t="str">
        <f>IF(AND(A1206='BANG KE NL'!$M$11,TH!C1206="NL",LEFT(D1206,1)="N"),"x","")</f>
        <v/>
      </c>
    </row>
    <row r="1207" spans="1:15" hidden="1">
      <c r="A1207" s="24" t="str">
        <f t="shared" si="206"/>
        <v/>
      </c>
      <c r="B1207" s="176" t="str">
        <f>IF(AND(MONTH(E1207)='IN-NX'!$J$5,'IN-NX'!$D$7=(D1207&amp;"/"&amp;C1207)),"x","")</f>
        <v/>
      </c>
      <c r="C1207" s="173"/>
      <c r="D1207" s="173"/>
      <c r="E1207" s="70"/>
      <c r="F1207" s="62"/>
      <c r="G1207" s="19"/>
      <c r="H1207" s="178"/>
      <c r="I1207" s="57"/>
      <c r="J1207" s="15"/>
      <c r="K1207" s="15"/>
      <c r="L1207" s="15">
        <f t="shared" si="207"/>
        <v>0</v>
      </c>
      <c r="M1207" s="15"/>
      <c r="N1207" s="15">
        <f t="shared" si="208"/>
        <v>0</v>
      </c>
      <c r="O1207" s="15" t="str">
        <f>IF(AND(A1207='BANG KE NL'!$M$11,TH!C1207="NL",LEFT(D1207,1)="N"),"x","")</f>
        <v/>
      </c>
    </row>
    <row r="1208" spans="1:15" hidden="1">
      <c r="A1208" s="24" t="str">
        <f t="shared" si="206"/>
        <v/>
      </c>
      <c r="B1208" s="176" t="str">
        <f>IF(AND(MONTH(E1208)='IN-NX'!$J$5,'IN-NX'!$D$7=(D1208&amp;"/"&amp;C1208)),"x","")</f>
        <v/>
      </c>
      <c r="C1208" s="173"/>
      <c r="D1208" s="173"/>
      <c r="E1208" s="70"/>
      <c r="F1208" s="62"/>
      <c r="G1208" s="19"/>
      <c r="H1208" s="178"/>
      <c r="I1208" s="57"/>
      <c r="J1208" s="15"/>
      <c r="K1208" s="15"/>
      <c r="L1208" s="15">
        <f t="shared" si="207"/>
        <v>0</v>
      </c>
      <c r="M1208" s="15"/>
      <c r="N1208" s="15">
        <f t="shared" si="208"/>
        <v>0</v>
      </c>
      <c r="O1208" s="15" t="str">
        <f>IF(AND(A1208='BANG KE NL'!$M$11,TH!C1208="NL",LEFT(D1208,1)="N"),"x","")</f>
        <v/>
      </c>
    </row>
    <row r="1209" spans="1:15" hidden="1">
      <c r="A1209" s="24" t="str">
        <f t="shared" si="206"/>
        <v/>
      </c>
      <c r="B1209" s="176" t="str">
        <f>IF(AND(MONTH(E1209)='IN-NX'!$J$5,'IN-NX'!$D$7=(D1209&amp;"/"&amp;C1209)),"x","")</f>
        <v/>
      </c>
      <c r="C1209" s="173"/>
      <c r="D1209" s="173"/>
      <c r="E1209" s="70"/>
      <c r="F1209" s="62"/>
      <c r="G1209" s="19"/>
      <c r="H1209" s="178"/>
      <c r="I1209" s="57"/>
      <c r="J1209" s="15"/>
      <c r="K1209" s="15"/>
      <c r="L1209" s="15">
        <f t="shared" si="207"/>
        <v>0</v>
      </c>
      <c r="M1209" s="15"/>
      <c r="N1209" s="15">
        <f t="shared" si="208"/>
        <v>0</v>
      </c>
      <c r="O1209" s="15" t="str">
        <f>IF(AND(A1209='BANG KE NL'!$M$11,TH!C1209="NL",LEFT(D1209,1)="N"),"x","")</f>
        <v/>
      </c>
    </row>
    <row r="1210" spans="1:15" hidden="1">
      <c r="A1210" s="24" t="str">
        <f t="shared" si="206"/>
        <v/>
      </c>
      <c r="B1210" s="176" t="str">
        <f>IF(AND(MONTH(E1210)='IN-NX'!$J$5,'IN-NX'!$D$7=(D1210&amp;"/"&amp;C1210)),"x","")</f>
        <v/>
      </c>
      <c r="C1210" s="173"/>
      <c r="D1210" s="173"/>
      <c r="E1210" s="70"/>
      <c r="F1210" s="62"/>
      <c r="G1210" s="19"/>
      <c r="H1210" s="178"/>
      <c r="I1210" s="57"/>
      <c r="J1210" s="15"/>
      <c r="K1210" s="15"/>
      <c r="L1210" s="15">
        <f t="shared" si="207"/>
        <v>0</v>
      </c>
      <c r="M1210" s="15"/>
      <c r="N1210" s="15">
        <f t="shared" si="208"/>
        <v>0</v>
      </c>
      <c r="O1210" s="15" t="str">
        <f>IF(AND(A1210='BANG KE NL'!$M$11,TH!C1210="NL",LEFT(D1210,1)="N"),"x","")</f>
        <v/>
      </c>
    </row>
    <row r="1211" spans="1:15" hidden="1">
      <c r="A1211" s="24" t="str">
        <f t="shared" si="206"/>
        <v/>
      </c>
      <c r="B1211" s="176" t="str">
        <f>IF(AND(MONTH(E1211)='IN-NX'!$J$5,'IN-NX'!$D$7=(D1211&amp;"/"&amp;C1211)),"x","")</f>
        <v/>
      </c>
      <c r="C1211" s="173"/>
      <c r="D1211" s="173"/>
      <c r="E1211" s="70"/>
      <c r="F1211" s="62"/>
      <c r="G1211" s="19"/>
      <c r="H1211" s="178"/>
      <c r="I1211" s="57"/>
      <c r="J1211" s="15"/>
      <c r="K1211" s="15"/>
      <c r="L1211" s="15">
        <f t="shared" si="207"/>
        <v>0</v>
      </c>
      <c r="M1211" s="15"/>
      <c r="N1211" s="15">
        <f t="shared" si="208"/>
        <v>0</v>
      </c>
      <c r="O1211" s="15" t="str">
        <f>IF(AND(A1211='BANG KE NL'!$M$11,TH!C1211="NL",LEFT(D1211,1)="N"),"x","")</f>
        <v/>
      </c>
    </row>
    <row r="1212" spans="1:15" hidden="1">
      <c r="A1212" s="24" t="str">
        <f t="shared" si="206"/>
        <v/>
      </c>
      <c r="B1212" s="176" t="str">
        <f>IF(AND(MONTH(E1212)='IN-NX'!$J$5,'IN-NX'!$D$7=(D1212&amp;"/"&amp;C1212)),"x","")</f>
        <v/>
      </c>
      <c r="C1212" s="173"/>
      <c r="D1212" s="173"/>
      <c r="E1212" s="70"/>
      <c r="F1212" s="62"/>
      <c r="G1212" s="19"/>
      <c r="H1212" s="178"/>
      <c r="I1212" s="57"/>
      <c r="J1212" s="15"/>
      <c r="K1212" s="15"/>
      <c r="L1212" s="15">
        <f t="shared" si="207"/>
        <v>0</v>
      </c>
      <c r="M1212" s="15"/>
      <c r="N1212" s="15">
        <f t="shared" si="208"/>
        <v>0</v>
      </c>
      <c r="O1212" s="15" t="str">
        <f>IF(AND(A1212='BANG KE NL'!$M$11,TH!C1212="NL",LEFT(D1212,1)="N"),"x","")</f>
        <v/>
      </c>
    </row>
    <row r="1213" spans="1:15" hidden="1">
      <c r="A1213" s="24" t="str">
        <f t="shared" si="206"/>
        <v/>
      </c>
      <c r="B1213" s="176" t="str">
        <f>IF(AND(MONTH(E1213)='IN-NX'!$J$5,'IN-NX'!$D$7=(D1213&amp;"/"&amp;C1213)),"x","")</f>
        <v/>
      </c>
      <c r="C1213" s="173"/>
      <c r="D1213" s="173"/>
      <c r="E1213" s="70"/>
      <c r="F1213" s="62"/>
      <c r="G1213" s="19"/>
      <c r="H1213" s="178"/>
      <c r="I1213" s="57"/>
      <c r="J1213" s="15"/>
      <c r="K1213" s="15"/>
      <c r="L1213" s="15">
        <f t="shared" si="207"/>
        <v>0</v>
      </c>
      <c r="M1213" s="15"/>
      <c r="N1213" s="15">
        <f t="shared" si="208"/>
        <v>0</v>
      </c>
      <c r="O1213" s="15" t="str">
        <f>IF(AND(A1213='BANG KE NL'!$M$11,TH!C1213="NL",LEFT(D1213,1)="N"),"x","")</f>
        <v/>
      </c>
    </row>
    <row r="1214" spans="1:15" hidden="1">
      <c r="A1214" s="24" t="str">
        <f t="shared" si="206"/>
        <v/>
      </c>
      <c r="B1214" s="176" t="str">
        <f>IF(AND(MONTH(E1214)='IN-NX'!$J$5,'IN-NX'!$D$7=(D1214&amp;"/"&amp;C1214)),"x","")</f>
        <v/>
      </c>
      <c r="C1214" s="173"/>
      <c r="D1214" s="173"/>
      <c r="E1214" s="70"/>
      <c r="F1214" s="62"/>
      <c r="G1214" s="19"/>
      <c r="H1214" s="178"/>
      <c r="I1214" s="57"/>
      <c r="J1214" s="15"/>
      <c r="K1214" s="15"/>
      <c r="L1214" s="15">
        <f t="shared" si="207"/>
        <v>0</v>
      </c>
      <c r="M1214" s="15"/>
      <c r="N1214" s="15">
        <f t="shared" si="208"/>
        <v>0</v>
      </c>
      <c r="O1214" s="15" t="str">
        <f>IF(AND(A1214='BANG KE NL'!$M$11,TH!C1214="NL",LEFT(D1214,1)="N"),"x","")</f>
        <v/>
      </c>
    </row>
    <row r="1215" spans="1:15" hidden="1">
      <c r="A1215" s="24" t="str">
        <f t="shared" si="206"/>
        <v/>
      </c>
      <c r="B1215" s="176" t="str">
        <f>IF(AND(MONTH(E1215)='IN-NX'!$J$5,'IN-NX'!$D$7=(D1215&amp;"/"&amp;C1215)),"x","")</f>
        <v/>
      </c>
      <c r="C1215" s="173"/>
      <c r="D1215" s="173"/>
      <c r="E1215" s="70"/>
      <c r="F1215" s="62"/>
      <c r="G1215" s="19"/>
      <c r="H1215" s="178"/>
      <c r="I1215" s="57"/>
      <c r="J1215" s="15"/>
      <c r="K1215" s="15"/>
      <c r="L1215" s="15">
        <f t="shared" si="207"/>
        <v>0</v>
      </c>
      <c r="M1215" s="15"/>
      <c r="N1215" s="15">
        <f t="shared" si="208"/>
        <v>0</v>
      </c>
      <c r="O1215" s="15" t="str">
        <f>IF(AND(A1215='BANG KE NL'!$M$11,TH!C1215="NL",LEFT(D1215,1)="N"),"x","")</f>
        <v/>
      </c>
    </row>
    <row r="1216" spans="1:15" hidden="1">
      <c r="A1216" s="24" t="str">
        <f t="shared" si="206"/>
        <v/>
      </c>
      <c r="B1216" s="176" t="str">
        <f>IF(AND(MONTH(E1216)='IN-NX'!$J$5,'IN-NX'!$D$7=(D1216&amp;"/"&amp;C1216)),"x","")</f>
        <v/>
      </c>
      <c r="C1216" s="173"/>
      <c r="D1216" s="173"/>
      <c r="E1216" s="70"/>
      <c r="F1216" s="62"/>
      <c r="G1216" s="19"/>
      <c r="H1216" s="178"/>
      <c r="I1216" s="57"/>
      <c r="J1216" s="15"/>
      <c r="K1216" s="15"/>
      <c r="L1216" s="15">
        <f t="shared" si="207"/>
        <v>0</v>
      </c>
      <c r="M1216" s="15"/>
      <c r="N1216" s="15">
        <f t="shared" si="208"/>
        <v>0</v>
      </c>
      <c r="O1216" s="15" t="str">
        <f>IF(AND(A1216='BANG KE NL'!$M$11,TH!C1216="NL",LEFT(D1216,1)="N"),"x","")</f>
        <v/>
      </c>
    </row>
    <row r="1217" spans="1:15" hidden="1">
      <c r="A1217" s="24" t="str">
        <f t="shared" si="206"/>
        <v/>
      </c>
      <c r="B1217" s="176" t="str">
        <f>IF(AND(MONTH(E1217)='IN-NX'!$J$5,'IN-NX'!$D$7=(D1217&amp;"/"&amp;C1217)),"x","")</f>
        <v/>
      </c>
      <c r="C1217" s="173"/>
      <c r="D1217" s="173"/>
      <c r="E1217" s="70"/>
      <c r="F1217" s="62"/>
      <c r="G1217" s="19"/>
      <c r="H1217" s="178"/>
      <c r="I1217" s="57"/>
      <c r="J1217" s="15"/>
      <c r="K1217" s="15"/>
      <c r="L1217" s="15">
        <f t="shared" si="207"/>
        <v>0</v>
      </c>
      <c r="M1217" s="15"/>
      <c r="N1217" s="15">
        <f t="shared" si="208"/>
        <v>0</v>
      </c>
      <c r="O1217" s="15" t="str">
        <f>IF(AND(A1217='BANG KE NL'!$M$11,TH!C1217="NL",LEFT(D1217,1)="N"),"x","")</f>
        <v/>
      </c>
    </row>
    <row r="1218" spans="1:15" hidden="1">
      <c r="A1218" s="24" t="str">
        <f t="shared" si="206"/>
        <v/>
      </c>
      <c r="B1218" s="176" t="str">
        <f>IF(AND(MONTH(E1218)='IN-NX'!$J$5,'IN-NX'!$D$7=(D1218&amp;"/"&amp;C1218)),"x","")</f>
        <v/>
      </c>
      <c r="C1218" s="173"/>
      <c r="D1218" s="173"/>
      <c r="E1218" s="70"/>
      <c r="F1218" s="62"/>
      <c r="G1218" s="19"/>
      <c r="H1218" s="178"/>
      <c r="I1218" s="57"/>
      <c r="J1218" s="15"/>
      <c r="K1218" s="15"/>
      <c r="L1218" s="15">
        <f t="shared" si="207"/>
        <v>0</v>
      </c>
      <c r="M1218" s="15"/>
      <c r="N1218" s="15">
        <f t="shared" si="208"/>
        <v>0</v>
      </c>
      <c r="O1218" s="15" t="str">
        <f>IF(AND(A1218='BANG KE NL'!$M$11,TH!C1218="NL",LEFT(D1218,1)="N"),"x","")</f>
        <v/>
      </c>
    </row>
    <row r="1219" spans="1:15" hidden="1">
      <c r="A1219" s="24" t="str">
        <f t="shared" si="206"/>
        <v/>
      </c>
      <c r="B1219" s="176" t="str">
        <f>IF(AND(MONTH(E1219)='IN-NX'!$J$5,'IN-NX'!$D$7=(D1219&amp;"/"&amp;C1219)),"x","")</f>
        <v/>
      </c>
      <c r="C1219" s="173"/>
      <c r="D1219" s="173"/>
      <c r="E1219" s="70"/>
      <c r="F1219" s="62"/>
      <c r="G1219" s="19"/>
      <c r="H1219" s="178"/>
      <c r="I1219" s="57"/>
      <c r="J1219" s="15"/>
      <c r="K1219" s="15"/>
      <c r="L1219" s="15">
        <f t="shared" si="207"/>
        <v>0</v>
      </c>
      <c r="M1219" s="15"/>
      <c r="N1219" s="15">
        <f t="shared" si="208"/>
        <v>0</v>
      </c>
      <c r="O1219" s="15" t="str">
        <f>IF(AND(A1219='BANG KE NL'!$M$11,TH!C1219="NL",LEFT(D1219,1)="N"),"x","")</f>
        <v/>
      </c>
    </row>
    <row r="1220" spans="1:15" hidden="1">
      <c r="A1220" s="24" t="str">
        <f t="shared" si="206"/>
        <v/>
      </c>
      <c r="B1220" s="176" t="str">
        <f>IF(AND(MONTH(E1220)='IN-NX'!$J$5,'IN-NX'!$D$7=(D1220&amp;"/"&amp;C1220)),"x","")</f>
        <v/>
      </c>
      <c r="C1220" s="173"/>
      <c r="D1220" s="173"/>
      <c r="E1220" s="70"/>
      <c r="F1220" s="62"/>
      <c r="G1220" s="19"/>
      <c r="H1220" s="178"/>
      <c r="I1220" s="57"/>
      <c r="J1220" s="15"/>
      <c r="K1220" s="15"/>
      <c r="L1220" s="15">
        <f t="shared" si="207"/>
        <v>0</v>
      </c>
      <c r="M1220" s="15"/>
      <c r="N1220" s="15">
        <f t="shared" si="208"/>
        <v>0</v>
      </c>
      <c r="O1220" s="15" t="str">
        <f>IF(AND(A1220='BANG KE NL'!$M$11,TH!C1220="NL",LEFT(D1220,1)="N"),"x","")</f>
        <v/>
      </c>
    </row>
    <row r="1221" spans="1:15" hidden="1">
      <c r="A1221" s="24" t="str">
        <f t="shared" si="206"/>
        <v/>
      </c>
      <c r="B1221" s="176" t="str">
        <f>IF(AND(MONTH(E1221)='IN-NX'!$J$5,'IN-NX'!$D$7=(D1221&amp;"/"&amp;C1221)),"x","")</f>
        <v/>
      </c>
      <c r="C1221" s="173"/>
      <c r="D1221" s="173"/>
      <c r="E1221" s="70"/>
      <c r="F1221" s="62"/>
      <c r="G1221" s="19"/>
      <c r="H1221" s="178"/>
      <c r="I1221" s="57"/>
      <c r="J1221" s="15"/>
      <c r="K1221" s="15"/>
      <c r="L1221" s="15">
        <f t="shared" si="207"/>
        <v>0</v>
      </c>
      <c r="M1221" s="15"/>
      <c r="N1221" s="15">
        <f t="shared" si="208"/>
        <v>0</v>
      </c>
      <c r="O1221" s="15" t="str">
        <f>IF(AND(A1221='BANG KE NL'!$M$11,TH!C1221="NL",LEFT(D1221,1)="N"),"x","")</f>
        <v/>
      </c>
    </row>
    <row r="1222" spans="1:15" hidden="1">
      <c r="A1222" s="24" t="str">
        <f t="shared" si="206"/>
        <v/>
      </c>
      <c r="B1222" s="176" t="str">
        <f>IF(AND(MONTH(E1222)='IN-NX'!$J$5,'IN-NX'!$D$7=(D1222&amp;"/"&amp;C1222)),"x","")</f>
        <v/>
      </c>
      <c r="C1222" s="173"/>
      <c r="D1222" s="173"/>
      <c r="E1222" s="70"/>
      <c r="F1222" s="62"/>
      <c r="G1222" s="19"/>
      <c r="H1222" s="178"/>
      <c r="I1222" s="57"/>
      <c r="J1222" s="15"/>
      <c r="K1222" s="15"/>
      <c r="L1222" s="15">
        <f t="shared" si="207"/>
        <v>0</v>
      </c>
      <c r="M1222" s="15"/>
      <c r="N1222" s="15">
        <f t="shared" si="208"/>
        <v>0</v>
      </c>
      <c r="O1222" s="15" t="str">
        <f>IF(AND(A1222='BANG KE NL'!$M$11,TH!C1222="NL",LEFT(D1222,1)="N"),"x","")</f>
        <v/>
      </c>
    </row>
    <row r="1223" spans="1:15" hidden="1">
      <c r="A1223" s="24" t="str">
        <f t="shared" si="206"/>
        <v/>
      </c>
      <c r="B1223" s="176" t="str">
        <f>IF(AND(MONTH(E1223)='IN-NX'!$J$5,'IN-NX'!$D$7=(D1223&amp;"/"&amp;C1223)),"x","")</f>
        <v/>
      </c>
      <c r="C1223" s="173"/>
      <c r="D1223" s="173"/>
      <c r="E1223" s="70"/>
      <c r="F1223" s="62"/>
      <c r="G1223" s="19"/>
      <c r="H1223" s="178"/>
      <c r="I1223" s="57"/>
      <c r="J1223" s="15"/>
      <c r="K1223" s="15"/>
      <c r="L1223" s="15">
        <f t="shared" si="207"/>
        <v>0</v>
      </c>
      <c r="M1223" s="15"/>
      <c r="N1223" s="15">
        <f t="shared" si="208"/>
        <v>0</v>
      </c>
      <c r="O1223" s="15" t="str">
        <f>IF(AND(A1223='BANG KE NL'!$M$11,TH!C1223="NL",LEFT(D1223,1)="N"),"x","")</f>
        <v/>
      </c>
    </row>
    <row r="1224" spans="1:15" hidden="1">
      <c r="A1224" s="24" t="str">
        <f t="shared" si="206"/>
        <v/>
      </c>
      <c r="B1224" s="176" t="str">
        <f>IF(AND(MONTH(E1224)='IN-NX'!$J$5,'IN-NX'!$D$7=(D1224&amp;"/"&amp;C1224)),"x","")</f>
        <v/>
      </c>
      <c r="C1224" s="173"/>
      <c r="D1224" s="173"/>
      <c r="E1224" s="70"/>
      <c r="F1224" s="62"/>
      <c r="G1224" s="19"/>
      <c r="H1224" s="178"/>
      <c r="I1224" s="57"/>
      <c r="J1224" s="15"/>
      <c r="K1224" s="15"/>
      <c r="L1224" s="15">
        <f t="shared" si="207"/>
        <v>0</v>
      </c>
      <c r="M1224" s="15"/>
      <c r="N1224" s="15">
        <f t="shared" si="208"/>
        <v>0</v>
      </c>
      <c r="O1224" s="15" t="str">
        <f>IF(AND(A1224='BANG KE NL'!$M$11,TH!C1224="NL",LEFT(D1224,1)="N"),"x","")</f>
        <v/>
      </c>
    </row>
    <row r="1225" spans="1:15" hidden="1">
      <c r="A1225" s="24" t="str">
        <f t="shared" si="206"/>
        <v/>
      </c>
      <c r="B1225" s="176" t="str">
        <f>IF(AND(MONTH(E1225)='IN-NX'!$J$5,'IN-NX'!$D$7=(D1225&amp;"/"&amp;C1225)),"x","")</f>
        <v/>
      </c>
      <c r="C1225" s="173"/>
      <c r="D1225" s="173"/>
      <c r="E1225" s="70"/>
      <c r="F1225" s="62"/>
      <c r="G1225" s="19"/>
      <c r="H1225" s="178"/>
      <c r="I1225" s="57"/>
      <c r="J1225" s="15"/>
      <c r="K1225" s="15"/>
      <c r="L1225" s="15">
        <f t="shared" si="207"/>
        <v>0</v>
      </c>
      <c r="M1225" s="15"/>
      <c r="N1225" s="15">
        <f t="shared" si="208"/>
        <v>0</v>
      </c>
      <c r="O1225" s="15" t="str">
        <f>IF(AND(A1225='BANG KE NL'!$M$11,TH!C1225="NL",LEFT(D1225,1)="N"),"x","")</f>
        <v/>
      </c>
    </row>
    <row r="1226" spans="1:15" hidden="1">
      <c r="A1226" s="24" t="str">
        <f t="shared" si="206"/>
        <v/>
      </c>
      <c r="B1226" s="176" t="str">
        <f>IF(AND(MONTH(E1226)='IN-NX'!$J$5,'IN-NX'!$D$7=(D1226&amp;"/"&amp;C1226)),"x","")</f>
        <v/>
      </c>
      <c r="C1226" s="173"/>
      <c r="D1226" s="173"/>
      <c r="E1226" s="70"/>
      <c r="F1226" s="62"/>
      <c r="G1226" s="19"/>
      <c r="H1226" s="178"/>
      <c r="I1226" s="57"/>
      <c r="J1226" s="15"/>
      <c r="K1226" s="15"/>
      <c r="L1226" s="15">
        <f t="shared" si="207"/>
        <v>0</v>
      </c>
      <c r="M1226" s="15"/>
      <c r="N1226" s="15">
        <f t="shared" si="208"/>
        <v>0</v>
      </c>
      <c r="O1226" s="15" t="str">
        <f>IF(AND(A1226='BANG KE NL'!$M$11,TH!C1226="NL",LEFT(D1226,1)="N"),"x","")</f>
        <v/>
      </c>
    </row>
    <row r="1227" spans="1:15" hidden="1">
      <c r="A1227" s="24" t="str">
        <f t="shared" si="206"/>
        <v/>
      </c>
      <c r="B1227" s="176" t="str">
        <f>IF(AND(MONTH(E1227)='IN-NX'!$J$5,'IN-NX'!$D$7=(D1227&amp;"/"&amp;C1227)),"x","")</f>
        <v/>
      </c>
      <c r="C1227" s="173"/>
      <c r="D1227" s="173"/>
      <c r="E1227" s="70"/>
      <c r="F1227" s="62"/>
      <c r="G1227" s="19"/>
      <c r="H1227" s="178"/>
      <c r="I1227" s="57"/>
      <c r="J1227" s="15"/>
      <c r="K1227" s="15"/>
      <c r="L1227" s="15">
        <f t="shared" si="207"/>
        <v>0</v>
      </c>
      <c r="M1227" s="15"/>
      <c r="N1227" s="15">
        <f t="shared" si="208"/>
        <v>0</v>
      </c>
      <c r="O1227" s="15" t="str">
        <f>IF(AND(A1227='BANG KE NL'!$M$11,TH!C1227="NL",LEFT(D1227,1)="N"),"x","")</f>
        <v/>
      </c>
    </row>
    <row r="1228" spans="1:15" hidden="1">
      <c r="A1228" s="24" t="str">
        <f t="shared" si="206"/>
        <v/>
      </c>
      <c r="B1228" s="176" t="str">
        <f>IF(AND(MONTH(E1228)='IN-NX'!$J$5,'IN-NX'!$D$7=(D1228&amp;"/"&amp;C1228)),"x","")</f>
        <v/>
      </c>
      <c r="C1228" s="173"/>
      <c r="D1228" s="173"/>
      <c r="E1228" s="70"/>
      <c r="F1228" s="62"/>
      <c r="G1228" s="19"/>
      <c r="H1228" s="178"/>
      <c r="I1228" s="57"/>
      <c r="J1228" s="15"/>
      <c r="K1228" s="15"/>
      <c r="L1228" s="15">
        <f t="shared" si="207"/>
        <v>0</v>
      </c>
      <c r="M1228" s="15"/>
      <c r="N1228" s="15">
        <f t="shared" si="208"/>
        <v>0</v>
      </c>
      <c r="O1228" s="15" t="str">
        <f>IF(AND(A1228='BANG KE NL'!$M$11,TH!C1228="NL",LEFT(D1228,1)="N"),"x","")</f>
        <v/>
      </c>
    </row>
    <row r="1229" spans="1:15" hidden="1">
      <c r="A1229" s="24" t="str">
        <f t="shared" si="206"/>
        <v/>
      </c>
      <c r="B1229" s="176" t="str">
        <f>IF(AND(MONTH(E1229)='IN-NX'!$J$5,'IN-NX'!$D$7=(D1229&amp;"/"&amp;C1229)),"x","")</f>
        <v/>
      </c>
      <c r="C1229" s="173"/>
      <c r="D1229" s="173"/>
      <c r="E1229" s="70"/>
      <c r="F1229" s="62"/>
      <c r="G1229" s="19"/>
      <c r="H1229" s="178"/>
      <c r="I1229" s="57"/>
      <c r="J1229" s="15"/>
      <c r="K1229" s="15"/>
      <c r="L1229" s="15">
        <f t="shared" si="207"/>
        <v>0</v>
      </c>
      <c r="M1229" s="15"/>
      <c r="N1229" s="15">
        <f t="shared" si="208"/>
        <v>0</v>
      </c>
      <c r="O1229" s="15" t="str">
        <f>IF(AND(A1229='BANG KE NL'!$M$11,TH!C1229="NL",LEFT(D1229,1)="N"),"x","")</f>
        <v/>
      </c>
    </row>
    <row r="1230" spans="1:15" hidden="1">
      <c r="A1230" s="24" t="str">
        <f t="shared" si="206"/>
        <v/>
      </c>
      <c r="B1230" s="176" t="str">
        <f>IF(AND(MONTH(E1230)='IN-NX'!$J$5,'IN-NX'!$D$7=(D1230&amp;"/"&amp;C1230)),"x","")</f>
        <v/>
      </c>
      <c r="C1230" s="173"/>
      <c r="D1230" s="173"/>
      <c r="E1230" s="70"/>
      <c r="F1230" s="62"/>
      <c r="G1230" s="19"/>
      <c r="H1230" s="178"/>
      <c r="I1230" s="57"/>
      <c r="J1230" s="15"/>
      <c r="K1230" s="15"/>
      <c r="L1230" s="15">
        <f t="shared" si="207"/>
        <v>0</v>
      </c>
      <c r="M1230" s="15"/>
      <c r="N1230" s="15">
        <f t="shared" si="208"/>
        <v>0</v>
      </c>
      <c r="O1230" s="15" t="str">
        <f>IF(AND(A1230='BANG KE NL'!$M$11,TH!C1230="NL",LEFT(D1230,1)="N"),"x","")</f>
        <v/>
      </c>
    </row>
    <row r="1231" spans="1:15" hidden="1">
      <c r="A1231" s="24" t="str">
        <f t="shared" si="206"/>
        <v/>
      </c>
      <c r="B1231" s="176" t="str">
        <f>IF(AND(MONTH(E1231)='IN-NX'!$J$5,'IN-NX'!$D$7=(D1231&amp;"/"&amp;C1231)),"x","")</f>
        <v/>
      </c>
      <c r="C1231" s="173"/>
      <c r="D1231" s="173"/>
      <c r="E1231" s="70"/>
      <c r="F1231" s="62"/>
      <c r="G1231" s="19"/>
      <c r="H1231" s="178"/>
      <c r="I1231" s="57"/>
      <c r="J1231" s="15"/>
      <c r="K1231" s="15"/>
      <c r="L1231" s="15">
        <f t="shared" si="207"/>
        <v>0</v>
      </c>
      <c r="M1231" s="15"/>
      <c r="N1231" s="15">
        <f t="shared" si="208"/>
        <v>0</v>
      </c>
      <c r="O1231" s="15" t="str">
        <f>IF(AND(A1231='BANG KE NL'!$M$11,TH!C1231="NL",LEFT(D1231,1)="N"),"x","")</f>
        <v/>
      </c>
    </row>
    <row r="1232" spans="1:15" hidden="1">
      <c r="A1232" s="24" t="str">
        <f t="shared" si="206"/>
        <v/>
      </c>
      <c r="B1232" s="176" t="str">
        <f>IF(AND(MONTH(E1232)='IN-NX'!$J$5,'IN-NX'!$D$7=(D1232&amp;"/"&amp;C1232)),"x","")</f>
        <v/>
      </c>
      <c r="C1232" s="173"/>
      <c r="D1232" s="173"/>
      <c r="E1232" s="70"/>
      <c r="F1232" s="62"/>
      <c r="G1232" s="19"/>
      <c r="H1232" s="178"/>
      <c r="I1232" s="57"/>
      <c r="J1232" s="15"/>
      <c r="K1232" s="15"/>
      <c r="L1232" s="15">
        <f t="shared" si="207"/>
        <v>0</v>
      </c>
      <c r="M1232" s="15"/>
      <c r="N1232" s="15">
        <f t="shared" si="208"/>
        <v>0</v>
      </c>
      <c r="O1232" s="15" t="str">
        <f>IF(AND(A1232='BANG KE NL'!$M$11,TH!C1232="NL",LEFT(D1232,1)="N"),"x","")</f>
        <v/>
      </c>
    </row>
    <row r="1233" spans="1:15" hidden="1">
      <c r="A1233" s="24" t="str">
        <f t="shared" si="206"/>
        <v/>
      </c>
      <c r="B1233" s="176" t="str">
        <f>IF(AND(MONTH(E1233)='IN-NX'!$J$5,'IN-NX'!$D$7=(D1233&amp;"/"&amp;C1233)),"x","")</f>
        <v/>
      </c>
      <c r="C1233" s="173"/>
      <c r="D1233" s="173"/>
      <c r="E1233" s="70"/>
      <c r="F1233" s="62"/>
      <c r="G1233" s="19"/>
      <c r="H1233" s="178"/>
      <c r="I1233" s="57"/>
      <c r="J1233" s="15"/>
      <c r="K1233" s="15"/>
      <c r="L1233" s="15">
        <f t="shared" si="207"/>
        <v>0</v>
      </c>
      <c r="M1233" s="15"/>
      <c r="N1233" s="15">
        <f t="shared" si="208"/>
        <v>0</v>
      </c>
      <c r="O1233" s="15" t="str">
        <f>IF(AND(A1233='BANG KE NL'!$M$11,TH!C1233="NL",LEFT(D1233,1)="N"),"x","")</f>
        <v/>
      </c>
    </row>
    <row r="1234" spans="1:15" hidden="1">
      <c r="A1234" s="24" t="str">
        <f t="shared" si="206"/>
        <v/>
      </c>
      <c r="B1234" s="176" t="str">
        <f>IF(AND(MONTH(E1234)='IN-NX'!$J$5,'IN-NX'!$D$7=(D1234&amp;"/"&amp;C1234)),"x","")</f>
        <v/>
      </c>
      <c r="C1234" s="173"/>
      <c r="D1234" s="173"/>
      <c r="E1234" s="70"/>
      <c r="F1234" s="62"/>
      <c r="G1234" s="19"/>
      <c r="H1234" s="178"/>
      <c r="I1234" s="57"/>
      <c r="J1234" s="15"/>
      <c r="K1234" s="15"/>
      <c r="L1234" s="15">
        <f t="shared" si="207"/>
        <v>0</v>
      </c>
      <c r="M1234" s="15"/>
      <c r="N1234" s="15">
        <f t="shared" si="208"/>
        <v>0</v>
      </c>
      <c r="O1234" s="15" t="str">
        <f>IF(AND(A1234='BANG KE NL'!$M$11,TH!C1234="NL",LEFT(D1234,1)="N"),"x","")</f>
        <v/>
      </c>
    </row>
    <row r="1235" spans="1:15" hidden="1">
      <c r="A1235" s="24" t="str">
        <f t="shared" si="206"/>
        <v/>
      </c>
      <c r="B1235" s="176" t="str">
        <f>IF(AND(MONTH(E1235)='IN-NX'!$J$5,'IN-NX'!$D$7=(D1235&amp;"/"&amp;C1235)),"x","")</f>
        <v/>
      </c>
      <c r="C1235" s="173"/>
      <c r="D1235" s="173"/>
      <c r="E1235" s="70"/>
      <c r="F1235" s="62"/>
      <c r="G1235" s="19"/>
      <c r="H1235" s="178"/>
      <c r="I1235" s="57"/>
      <c r="J1235" s="15"/>
      <c r="K1235" s="15"/>
      <c r="L1235" s="15">
        <f t="shared" si="207"/>
        <v>0</v>
      </c>
      <c r="M1235" s="15"/>
      <c r="N1235" s="15">
        <f t="shared" si="208"/>
        <v>0</v>
      </c>
      <c r="O1235" s="15" t="str">
        <f>IF(AND(A1235='BANG KE NL'!$M$11,TH!C1235="NL",LEFT(D1235,1)="N"),"x","")</f>
        <v/>
      </c>
    </row>
    <row r="1236" spans="1:15" hidden="1">
      <c r="A1236" s="24" t="str">
        <f t="shared" si="206"/>
        <v/>
      </c>
      <c r="B1236" s="176" t="str">
        <f>IF(AND(MONTH(E1236)='IN-NX'!$J$5,'IN-NX'!$D$7=(D1236&amp;"/"&amp;C1236)),"x","")</f>
        <v/>
      </c>
      <c r="C1236" s="173"/>
      <c r="D1236" s="173"/>
      <c r="E1236" s="70"/>
      <c r="F1236" s="62"/>
      <c r="G1236" s="19"/>
      <c r="H1236" s="178"/>
      <c r="I1236" s="57"/>
      <c r="J1236" s="15"/>
      <c r="K1236" s="15"/>
      <c r="L1236" s="15">
        <f t="shared" si="207"/>
        <v>0</v>
      </c>
      <c r="M1236" s="15"/>
      <c r="N1236" s="15">
        <f t="shared" si="208"/>
        <v>0</v>
      </c>
      <c r="O1236" s="15" t="str">
        <f>IF(AND(A1236='BANG KE NL'!$M$11,TH!C1236="NL",LEFT(D1236,1)="N"),"x","")</f>
        <v/>
      </c>
    </row>
    <row r="1237" spans="1:15" hidden="1">
      <c r="A1237" s="24" t="str">
        <f t="shared" si="206"/>
        <v/>
      </c>
      <c r="B1237" s="176" t="str">
        <f>IF(AND(MONTH(E1237)='IN-NX'!$J$5,'IN-NX'!$D$7=(D1237&amp;"/"&amp;C1237)),"x","")</f>
        <v/>
      </c>
      <c r="C1237" s="173"/>
      <c r="D1237" s="173"/>
      <c r="E1237" s="70"/>
      <c r="F1237" s="62"/>
      <c r="G1237" s="19"/>
      <c r="H1237" s="178"/>
      <c r="I1237" s="57"/>
      <c r="J1237" s="15"/>
      <c r="K1237" s="15"/>
      <c r="L1237" s="15">
        <f t="shared" si="207"/>
        <v>0</v>
      </c>
      <c r="M1237" s="15"/>
      <c r="N1237" s="15">
        <f t="shared" si="208"/>
        <v>0</v>
      </c>
      <c r="O1237" s="15" t="str">
        <f>IF(AND(A1237='BANG KE NL'!$M$11,TH!C1237="NL",LEFT(D1237,1)="N"),"x","")</f>
        <v/>
      </c>
    </row>
    <row r="1238" spans="1:15" hidden="1">
      <c r="A1238" s="24" t="str">
        <f t="shared" si="206"/>
        <v/>
      </c>
      <c r="B1238" s="176" t="str">
        <f>IF(AND(MONTH(E1238)='IN-NX'!$J$5,'IN-NX'!$D$7=(D1238&amp;"/"&amp;C1238)),"x","")</f>
        <v/>
      </c>
      <c r="C1238" s="173"/>
      <c r="D1238" s="173"/>
      <c r="E1238" s="70"/>
      <c r="F1238" s="62"/>
      <c r="G1238" s="19"/>
      <c r="H1238" s="178"/>
      <c r="I1238" s="57"/>
      <c r="J1238" s="15"/>
      <c r="K1238" s="15"/>
      <c r="L1238" s="15">
        <f t="shared" si="207"/>
        <v>0</v>
      </c>
      <c r="M1238" s="15"/>
      <c r="N1238" s="15">
        <f t="shared" si="208"/>
        <v>0</v>
      </c>
      <c r="O1238" s="15" t="str">
        <f>IF(AND(A1238='BANG KE NL'!$M$11,TH!C1238="NL",LEFT(D1238,1)="N"),"x","")</f>
        <v/>
      </c>
    </row>
    <row r="1239" spans="1:15" hidden="1">
      <c r="A1239" s="24" t="str">
        <f t="shared" si="206"/>
        <v/>
      </c>
      <c r="B1239" s="176" t="str">
        <f>IF(AND(MONTH(E1239)='IN-NX'!$J$5,'IN-NX'!$D$7=(D1239&amp;"/"&amp;C1239)),"x","")</f>
        <v/>
      </c>
      <c r="C1239" s="173"/>
      <c r="D1239" s="173"/>
      <c r="E1239" s="70"/>
      <c r="F1239" s="62"/>
      <c r="G1239" s="19"/>
      <c r="H1239" s="178"/>
      <c r="I1239" s="57"/>
      <c r="J1239" s="15"/>
      <c r="K1239" s="15"/>
      <c r="L1239" s="15">
        <f t="shared" si="207"/>
        <v>0</v>
      </c>
      <c r="M1239" s="15"/>
      <c r="N1239" s="15">
        <f t="shared" si="208"/>
        <v>0</v>
      </c>
      <c r="O1239" s="15" t="str">
        <f>IF(AND(A1239='BANG KE NL'!$M$11,TH!C1239="NL",LEFT(D1239,1)="N"),"x","")</f>
        <v/>
      </c>
    </row>
    <row r="1240" spans="1:15" hidden="1">
      <c r="A1240" s="24" t="str">
        <f t="shared" si="206"/>
        <v/>
      </c>
      <c r="B1240" s="176" t="str">
        <f>IF(AND(MONTH(E1240)='IN-NX'!$J$5,'IN-NX'!$D$7=(D1240&amp;"/"&amp;C1240)),"x","")</f>
        <v/>
      </c>
      <c r="C1240" s="173"/>
      <c r="D1240" s="173"/>
      <c r="E1240" s="70"/>
      <c r="F1240" s="62"/>
      <c r="G1240" s="19"/>
      <c r="H1240" s="178"/>
      <c r="I1240" s="57"/>
      <c r="J1240" s="15"/>
      <c r="K1240" s="15"/>
      <c r="L1240" s="15">
        <f t="shared" si="207"/>
        <v>0</v>
      </c>
      <c r="M1240" s="15"/>
      <c r="N1240" s="15">
        <f t="shared" si="208"/>
        <v>0</v>
      </c>
      <c r="O1240" s="15" t="str">
        <f>IF(AND(A1240='BANG KE NL'!$M$11,TH!C1240="NL",LEFT(D1240,1)="N"),"x","")</f>
        <v/>
      </c>
    </row>
    <row r="1241" spans="1:15" hidden="1">
      <c r="A1241" s="24" t="str">
        <f t="shared" si="206"/>
        <v/>
      </c>
      <c r="B1241" s="176" t="str">
        <f>IF(AND(MONTH(E1241)='IN-NX'!$J$5,'IN-NX'!$D$7=(D1241&amp;"/"&amp;C1241)),"x","")</f>
        <v/>
      </c>
      <c r="C1241" s="173"/>
      <c r="D1241" s="173"/>
      <c r="E1241" s="70"/>
      <c r="F1241" s="62"/>
      <c r="G1241" s="19"/>
      <c r="H1241" s="178"/>
      <c r="I1241" s="57"/>
      <c r="J1241" s="15"/>
      <c r="K1241" s="15"/>
      <c r="L1241" s="15">
        <f t="shared" si="207"/>
        <v>0</v>
      </c>
      <c r="M1241" s="15"/>
      <c r="N1241" s="15">
        <f t="shared" si="208"/>
        <v>0</v>
      </c>
      <c r="O1241" s="15" t="str">
        <f>IF(AND(A1241='BANG KE NL'!$M$11,TH!C1241="NL",LEFT(D1241,1)="N"),"x","")</f>
        <v/>
      </c>
    </row>
    <row r="1242" spans="1:15" hidden="1">
      <c r="A1242" s="24" t="str">
        <f t="shared" si="206"/>
        <v/>
      </c>
      <c r="B1242" s="176" t="str">
        <f>IF(AND(MONTH(E1242)='IN-NX'!$J$5,'IN-NX'!$D$7=(D1242&amp;"/"&amp;C1242)),"x","")</f>
        <v/>
      </c>
      <c r="C1242" s="173"/>
      <c r="D1242" s="173"/>
      <c r="E1242" s="70"/>
      <c r="F1242" s="62"/>
      <c r="G1242" s="19"/>
      <c r="H1242" s="178"/>
      <c r="I1242" s="57"/>
      <c r="J1242" s="15"/>
      <c r="K1242" s="15"/>
      <c r="L1242" s="15">
        <f t="shared" si="207"/>
        <v>0</v>
      </c>
      <c r="M1242" s="15"/>
      <c r="N1242" s="15">
        <f t="shared" si="208"/>
        <v>0</v>
      </c>
      <c r="O1242" s="15" t="str">
        <f>IF(AND(A1242='BANG KE NL'!$M$11,TH!C1242="NL",LEFT(D1242,1)="N"),"x","")</f>
        <v/>
      </c>
    </row>
    <row r="1243" spans="1:15" hidden="1">
      <c r="A1243" s="24" t="str">
        <f t="shared" si="206"/>
        <v/>
      </c>
      <c r="B1243" s="176" t="str">
        <f>IF(AND(MONTH(E1243)='IN-NX'!$J$5,'IN-NX'!$D$7=(D1243&amp;"/"&amp;C1243)),"x","")</f>
        <v/>
      </c>
      <c r="C1243" s="173"/>
      <c r="D1243" s="173"/>
      <c r="E1243" s="70"/>
      <c r="F1243" s="62"/>
      <c r="G1243" s="19"/>
      <c r="H1243" s="178"/>
      <c r="I1243" s="57"/>
      <c r="J1243" s="15"/>
      <c r="K1243" s="15"/>
      <c r="L1243" s="15">
        <f t="shared" si="207"/>
        <v>0</v>
      </c>
      <c r="M1243" s="15"/>
      <c r="N1243" s="15">
        <f t="shared" si="208"/>
        <v>0</v>
      </c>
      <c r="O1243" s="15" t="str">
        <f>IF(AND(A1243='BANG KE NL'!$M$11,TH!C1243="NL",LEFT(D1243,1)="N"),"x","")</f>
        <v/>
      </c>
    </row>
    <row r="1244" spans="1:15" hidden="1">
      <c r="A1244" s="24" t="str">
        <f t="shared" si="206"/>
        <v/>
      </c>
      <c r="B1244" s="176" t="str">
        <f>IF(AND(MONTH(E1244)='IN-NX'!$J$5,'IN-NX'!$D$7=(D1244&amp;"/"&amp;C1244)),"x","")</f>
        <v/>
      </c>
      <c r="C1244" s="173"/>
      <c r="D1244" s="173"/>
      <c r="E1244" s="70"/>
      <c r="F1244" s="62"/>
      <c r="G1244" s="19"/>
      <c r="H1244" s="178"/>
      <c r="I1244" s="57"/>
      <c r="J1244" s="15"/>
      <c r="K1244" s="15"/>
      <c r="L1244" s="15">
        <f t="shared" si="207"/>
        <v>0</v>
      </c>
      <c r="M1244" s="15"/>
      <c r="N1244" s="15">
        <f t="shared" si="208"/>
        <v>0</v>
      </c>
      <c r="O1244" s="15" t="str">
        <f>IF(AND(A1244='BANG KE NL'!$M$11,TH!C1244="NL",LEFT(D1244,1)="N"),"x","")</f>
        <v/>
      </c>
    </row>
    <row r="1245" spans="1:15" hidden="1">
      <c r="A1245" s="24" t="str">
        <f t="shared" si="206"/>
        <v/>
      </c>
      <c r="B1245" s="176" t="str">
        <f>IF(AND(MONTH(E1245)='IN-NX'!$J$5,'IN-NX'!$D$7=(D1245&amp;"/"&amp;C1245)),"x","")</f>
        <v/>
      </c>
      <c r="C1245" s="173"/>
      <c r="D1245" s="173"/>
      <c r="E1245" s="70"/>
      <c r="F1245" s="62"/>
      <c r="G1245" s="19"/>
      <c r="H1245" s="178"/>
      <c r="I1245" s="57"/>
      <c r="J1245" s="15"/>
      <c r="K1245" s="15"/>
      <c r="L1245" s="15">
        <f t="shared" si="207"/>
        <v>0</v>
      </c>
      <c r="M1245" s="15"/>
      <c r="N1245" s="15">
        <f t="shared" si="208"/>
        <v>0</v>
      </c>
      <c r="O1245" s="15" t="str">
        <f>IF(AND(A1245='BANG KE NL'!$M$11,TH!C1245="NL",LEFT(D1245,1)="N"),"x","")</f>
        <v/>
      </c>
    </row>
    <row r="1246" spans="1:15" hidden="1">
      <c r="A1246" s="24" t="str">
        <f t="shared" si="206"/>
        <v/>
      </c>
      <c r="B1246" s="176" t="str">
        <f>IF(AND(MONTH(E1246)='IN-NX'!$J$5,'IN-NX'!$D$7=(D1246&amp;"/"&amp;C1246)),"x","")</f>
        <v/>
      </c>
      <c r="C1246" s="173"/>
      <c r="D1246" s="173"/>
      <c r="E1246" s="70"/>
      <c r="F1246" s="62"/>
      <c r="G1246" s="19"/>
      <c r="H1246" s="178"/>
      <c r="I1246" s="57"/>
      <c r="J1246" s="15"/>
      <c r="K1246" s="15"/>
      <c r="L1246" s="15">
        <f t="shared" si="207"/>
        <v>0</v>
      </c>
      <c r="M1246" s="15"/>
      <c r="N1246" s="15">
        <f t="shared" si="208"/>
        <v>0</v>
      </c>
      <c r="O1246" s="15" t="str">
        <f>IF(AND(A1246='BANG KE NL'!$M$11,TH!C1246="NL",LEFT(D1246,1)="N"),"x","")</f>
        <v/>
      </c>
    </row>
    <row r="1247" spans="1:15" hidden="1">
      <c r="A1247" s="24" t="str">
        <f t="shared" si="206"/>
        <v/>
      </c>
      <c r="B1247" s="176" t="str">
        <f>IF(AND(MONTH(E1247)='IN-NX'!$J$5,'IN-NX'!$D$7=(D1247&amp;"/"&amp;C1247)),"x","")</f>
        <v/>
      </c>
      <c r="C1247" s="173"/>
      <c r="D1247" s="173"/>
      <c r="E1247" s="70"/>
      <c r="F1247" s="62"/>
      <c r="G1247" s="19"/>
      <c r="H1247" s="178"/>
      <c r="I1247" s="57"/>
      <c r="J1247" s="15"/>
      <c r="K1247" s="15"/>
      <c r="L1247" s="15">
        <f t="shared" si="207"/>
        <v>0</v>
      </c>
      <c r="M1247" s="15"/>
      <c r="N1247" s="15">
        <f t="shared" si="208"/>
        <v>0</v>
      </c>
      <c r="O1247" s="15" t="str">
        <f>IF(AND(A1247='BANG KE NL'!$M$11,TH!C1247="NL",LEFT(D1247,1)="N"),"x","")</f>
        <v/>
      </c>
    </row>
    <row r="1248" spans="1:15" hidden="1">
      <c r="A1248" s="24" t="str">
        <f t="shared" si="206"/>
        <v/>
      </c>
      <c r="B1248" s="176" t="str">
        <f>IF(AND(MONTH(E1248)='IN-NX'!$J$5,'IN-NX'!$D$7=(D1248&amp;"/"&amp;C1248)),"x","")</f>
        <v/>
      </c>
      <c r="C1248" s="173"/>
      <c r="D1248" s="173"/>
      <c r="E1248" s="70"/>
      <c r="F1248" s="62"/>
      <c r="G1248" s="19"/>
      <c r="H1248" s="178"/>
      <c r="I1248" s="57"/>
      <c r="J1248" s="15"/>
      <c r="K1248" s="15"/>
      <c r="L1248" s="15">
        <f t="shared" si="207"/>
        <v>0</v>
      </c>
      <c r="M1248" s="15"/>
      <c r="N1248" s="15">
        <f t="shared" si="208"/>
        <v>0</v>
      </c>
      <c r="O1248" s="15" t="str">
        <f>IF(AND(A1248='BANG KE NL'!$M$11,TH!C1248="NL",LEFT(D1248,1)="N"),"x","")</f>
        <v/>
      </c>
    </row>
    <row r="1249" spans="1:15" hidden="1">
      <c r="A1249" s="24" t="str">
        <f t="shared" si="206"/>
        <v/>
      </c>
      <c r="B1249" s="176" t="str">
        <f>IF(AND(MONTH(E1249)='IN-NX'!$J$5,'IN-NX'!$D$7=(D1249&amp;"/"&amp;C1249)),"x","")</f>
        <v/>
      </c>
      <c r="C1249" s="173"/>
      <c r="D1249" s="173"/>
      <c r="E1249" s="70"/>
      <c r="F1249" s="62"/>
      <c r="G1249" s="19"/>
      <c r="H1249" s="178"/>
      <c r="I1249" s="57"/>
      <c r="J1249" s="15"/>
      <c r="K1249" s="15"/>
      <c r="L1249" s="15">
        <f t="shared" si="207"/>
        <v>0</v>
      </c>
      <c r="M1249" s="15"/>
      <c r="N1249" s="15">
        <f t="shared" si="208"/>
        <v>0</v>
      </c>
      <c r="O1249" s="15" t="str">
        <f>IF(AND(A1249='BANG KE NL'!$M$11,TH!C1249="NL",LEFT(D1249,1)="N"),"x","")</f>
        <v/>
      </c>
    </row>
    <row r="1250" spans="1:15" hidden="1">
      <c r="A1250" s="24" t="str">
        <f t="shared" si="206"/>
        <v/>
      </c>
      <c r="B1250" s="176" t="str">
        <f>IF(AND(MONTH(E1250)='IN-NX'!$J$5,'IN-NX'!$D$7=(D1250&amp;"/"&amp;C1250)),"x","")</f>
        <v/>
      </c>
      <c r="C1250" s="173"/>
      <c r="D1250" s="173"/>
      <c r="E1250" s="70"/>
      <c r="F1250" s="62"/>
      <c r="G1250" s="19"/>
      <c r="H1250" s="178"/>
      <c r="I1250" s="57"/>
      <c r="J1250" s="15"/>
      <c r="K1250" s="15"/>
      <c r="L1250" s="15">
        <f t="shared" si="207"/>
        <v>0</v>
      </c>
      <c r="M1250" s="15"/>
      <c r="N1250" s="15">
        <f t="shared" si="208"/>
        <v>0</v>
      </c>
      <c r="O1250" s="15" t="str">
        <f>IF(AND(A1250='BANG KE NL'!$M$11,TH!C1250="NL",LEFT(D1250,1)="N"),"x","")</f>
        <v/>
      </c>
    </row>
    <row r="1251" spans="1:15" hidden="1">
      <c r="A1251" s="24" t="str">
        <f t="shared" si="206"/>
        <v/>
      </c>
      <c r="B1251" s="176" t="str">
        <f>IF(AND(MONTH(E1251)='IN-NX'!$J$5,'IN-NX'!$D$7=(D1251&amp;"/"&amp;C1251)),"x","")</f>
        <v/>
      </c>
      <c r="C1251" s="173"/>
      <c r="D1251" s="173"/>
      <c r="E1251" s="70"/>
      <c r="F1251" s="62"/>
      <c r="G1251" s="19"/>
      <c r="H1251" s="178"/>
      <c r="I1251" s="57"/>
      <c r="J1251" s="15"/>
      <c r="K1251" s="15"/>
      <c r="L1251" s="15">
        <f t="shared" si="207"/>
        <v>0</v>
      </c>
      <c r="M1251" s="15"/>
      <c r="N1251" s="15">
        <f t="shared" si="208"/>
        <v>0</v>
      </c>
      <c r="O1251" s="15" t="str">
        <f>IF(AND(A1251='BANG KE NL'!$M$11,TH!C1251="NL",LEFT(D1251,1)="N"),"x","")</f>
        <v/>
      </c>
    </row>
    <row r="1252" spans="1:15" hidden="1">
      <c r="A1252" s="24" t="str">
        <f t="shared" si="206"/>
        <v/>
      </c>
      <c r="B1252" s="176" t="str">
        <f>IF(AND(MONTH(E1252)='IN-NX'!$J$5,'IN-NX'!$D$7=(D1252&amp;"/"&amp;C1252)),"x","")</f>
        <v/>
      </c>
      <c r="C1252" s="173"/>
      <c r="D1252" s="173"/>
      <c r="E1252" s="70"/>
      <c r="F1252" s="62"/>
      <c r="G1252" s="19"/>
      <c r="H1252" s="178"/>
      <c r="I1252" s="57"/>
      <c r="J1252" s="15"/>
      <c r="K1252" s="15"/>
      <c r="L1252" s="15">
        <f t="shared" si="207"/>
        <v>0</v>
      </c>
      <c r="M1252" s="15"/>
      <c r="N1252" s="15">
        <f t="shared" si="208"/>
        <v>0</v>
      </c>
      <c r="O1252" s="15" t="str">
        <f>IF(AND(A1252='BANG KE NL'!$M$11,TH!C1252="NL",LEFT(D1252,1)="N"),"x","")</f>
        <v/>
      </c>
    </row>
    <row r="1253" spans="1:15" hidden="1">
      <c r="A1253" s="24" t="str">
        <f t="shared" ref="A1253:A1316" si="209">IF(E1253&lt;&gt;"",MONTH(E1253),"")</f>
        <v/>
      </c>
      <c r="B1253" s="176" t="str">
        <f>IF(AND(MONTH(E1253)='IN-NX'!$J$5,'IN-NX'!$D$7=(D1253&amp;"/"&amp;C1253)),"x","")</f>
        <v/>
      </c>
      <c r="C1253" s="173"/>
      <c r="D1253" s="173"/>
      <c r="E1253" s="70"/>
      <c r="F1253" s="62"/>
      <c r="G1253" s="19"/>
      <c r="H1253" s="178"/>
      <c r="I1253" s="57"/>
      <c r="J1253" s="15"/>
      <c r="K1253" s="15"/>
      <c r="L1253" s="15">
        <f t="shared" si="207"/>
        <v>0</v>
      </c>
      <c r="M1253" s="15"/>
      <c r="N1253" s="15">
        <f t="shared" si="208"/>
        <v>0</v>
      </c>
      <c r="O1253" s="15" t="str">
        <f>IF(AND(A1253='BANG KE NL'!$M$11,TH!C1253="NL",LEFT(D1253,1)="N"),"x","")</f>
        <v/>
      </c>
    </row>
    <row r="1254" spans="1:15" hidden="1">
      <c r="A1254" s="24" t="str">
        <f t="shared" si="209"/>
        <v/>
      </c>
      <c r="B1254" s="176" t="str">
        <f>IF(AND(MONTH(E1254)='IN-NX'!$J$5,'IN-NX'!$D$7=(D1254&amp;"/"&amp;C1254)),"x","")</f>
        <v/>
      </c>
      <c r="C1254" s="173"/>
      <c r="D1254" s="173"/>
      <c r="E1254" s="70"/>
      <c r="F1254" s="62"/>
      <c r="G1254" s="19"/>
      <c r="H1254" s="178"/>
      <c r="I1254" s="57"/>
      <c r="J1254" s="15"/>
      <c r="K1254" s="15"/>
      <c r="L1254" s="15">
        <f t="shared" si="207"/>
        <v>0</v>
      </c>
      <c r="M1254" s="15"/>
      <c r="N1254" s="15">
        <f t="shared" si="208"/>
        <v>0</v>
      </c>
      <c r="O1254" s="15" t="str">
        <f>IF(AND(A1254='BANG KE NL'!$M$11,TH!C1254="NL",LEFT(D1254,1)="N"),"x","")</f>
        <v/>
      </c>
    </row>
    <row r="1255" spans="1:15" hidden="1">
      <c r="A1255" s="24" t="str">
        <f t="shared" si="209"/>
        <v/>
      </c>
      <c r="B1255" s="176" t="str">
        <f>IF(AND(MONTH(E1255)='IN-NX'!$J$5,'IN-NX'!$D$7=(D1255&amp;"/"&amp;C1255)),"x","")</f>
        <v/>
      </c>
      <c r="C1255" s="173"/>
      <c r="D1255" s="173"/>
      <c r="E1255" s="70"/>
      <c r="F1255" s="62"/>
      <c r="G1255" s="19"/>
      <c r="H1255" s="178"/>
      <c r="I1255" s="57"/>
      <c r="J1255" s="15"/>
      <c r="K1255" s="15"/>
      <c r="L1255" s="15">
        <f t="shared" si="207"/>
        <v>0</v>
      </c>
      <c r="M1255" s="15"/>
      <c r="N1255" s="15">
        <f t="shared" si="208"/>
        <v>0</v>
      </c>
      <c r="O1255" s="15" t="str">
        <f>IF(AND(A1255='BANG KE NL'!$M$11,TH!C1255="NL",LEFT(D1255,1)="N"),"x","")</f>
        <v/>
      </c>
    </row>
    <row r="1256" spans="1:15" hidden="1">
      <c r="A1256" s="24" t="str">
        <f t="shared" si="209"/>
        <v/>
      </c>
      <c r="B1256" s="176" t="str">
        <f>IF(AND(MONTH(E1256)='IN-NX'!$J$5,'IN-NX'!$D$7=(D1256&amp;"/"&amp;C1256)),"x","")</f>
        <v/>
      </c>
      <c r="C1256" s="173"/>
      <c r="D1256" s="173"/>
      <c r="E1256" s="70"/>
      <c r="F1256" s="62"/>
      <c r="G1256" s="19"/>
      <c r="H1256" s="178"/>
      <c r="I1256" s="57"/>
      <c r="J1256" s="15"/>
      <c r="K1256" s="15"/>
      <c r="L1256" s="15">
        <f t="shared" si="207"/>
        <v>0</v>
      </c>
      <c r="M1256" s="15"/>
      <c r="N1256" s="15">
        <f t="shared" si="208"/>
        <v>0</v>
      </c>
      <c r="O1256" s="15" t="str">
        <f>IF(AND(A1256='BANG KE NL'!$M$11,TH!C1256="NL",LEFT(D1256,1)="N"),"x","")</f>
        <v/>
      </c>
    </row>
    <row r="1257" spans="1:15" hidden="1">
      <c r="A1257" s="24" t="str">
        <f t="shared" si="209"/>
        <v/>
      </c>
      <c r="B1257" s="176" t="str">
        <f>IF(AND(MONTH(E1257)='IN-NX'!$J$5,'IN-NX'!$D$7=(D1257&amp;"/"&amp;C1257)),"x","")</f>
        <v/>
      </c>
      <c r="C1257" s="173"/>
      <c r="D1257" s="173"/>
      <c r="E1257" s="70"/>
      <c r="F1257" s="62"/>
      <c r="G1257" s="19"/>
      <c r="H1257" s="178"/>
      <c r="I1257" s="57"/>
      <c r="J1257" s="15"/>
      <c r="K1257" s="15"/>
      <c r="L1257" s="15">
        <f t="shared" si="207"/>
        <v>0</v>
      </c>
      <c r="M1257" s="15"/>
      <c r="N1257" s="15">
        <f t="shared" si="208"/>
        <v>0</v>
      </c>
      <c r="O1257" s="15" t="str">
        <f>IF(AND(A1257='BANG KE NL'!$M$11,TH!C1257="NL",LEFT(D1257,1)="N"),"x","")</f>
        <v/>
      </c>
    </row>
    <row r="1258" spans="1:15" hidden="1">
      <c r="A1258" s="24" t="str">
        <f t="shared" si="209"/>
        <v/>
      </c>
      <c r="B1258" s="176" t="str">
        <f>IF(AND(MONTH(E1258)='IN-NX'!$J$5,'IN-NX'!$D$7=(D1258&amp;"/"&amp;C1258)),"x","")</f>
        <v/>
      </c>
      <c r="C1258" s="173"/>
      <c r="D1258" s="173"/>
      <c r="E1258" s="70"/>
      <c r="F1258" s="62"/>
      <c r="G1258" s="19"/>
      <c r="H1258" s="178"/>
      <c r="I1258" s="57"/>
      <c r="J1258" s="15"/>
      <c r="K1258" s="15"/>
      <c r="L1258" s="15">
        <f t="shared" si="207"/>
        <v>0</v>
      </c>
      <c r="M1258" s="15"/>
      <c r="N1258" s="15">
        <f t="shared" si="208"/>
        <v>0</v>
      </c>
      <c r="O1258" s="15" t="str">
        <f>IF(AND(A1258='BANG KE NL'!$M$11,TH!C1258="NL",LEFT(D1258,1)="N"),"x","")</f>
        <v/>
      </c>
    </row>
    <row r="1259" spans="1:15" hidden="1">
      <c r="A1259" s="24" t="str">
        <f t="shared" si="209"/>
        <v/>
      </c>
      <c r="B1259" s="176" t="str">
        <f>IF(AND(MONTH(E1259)='IN-NX'!$J$5,'IN-NX'!$D$7=(D1259&amp;"/"&amp;C1259)),"x","")</f>
        <v/>
      </c>
      <c r="C1259" s="173"/>
      <c r="D1259" s="173"/>
      <c r="E1259" s="70"/>
      <c r="F1259" s="62"/>
      <c r="G1259" s="19"/>
      <c r="H1259" s="178"/>
      <c r="I1259" s="57"/>
      <c r="J1259" s="15"/>
      <c r="K1259" s="15"/>
      <c r="L1259" s="15">
        <f t="shared" si="207"/>
        <v>0</v>
      </c>
      <c r="M1259" s="15"/>
      <c r="N1259" s="15">
        <f t="shared" si="208"/>
        <v>0</v>
      </c>
      <c r="O1259" s="15" t="str">
        <f>IF(AND(A1259='BANG KE NL'!$M$11,TH!C1259="NL",LEFT(D1259,1)="N"),"x","")</f>
        <v/>
      </c>
    </row>
    <row r="1260" spans="1:15" hidden="1">
      <c r="A1260" s="24" t="str">
        <f t="shared" si="209"/>
        <v/>
      </c>
      <c r="B1260" s="176" t="str">
        <f>IF(AND(MONTH(E1260)='IN-NX'!$J$5,'IN-NX'!$D$7=(D1260&amp;"/"&amp;C1260)),"x","")</f>
        <v/>
      </c>
      <c r="C1260" s="173"/>
      <c r="D1260" s="173"/>
      <c r="E1260" s="70"/>
      <c r="F1260" s="62"/>
      <c r="G1260" s="19"/>
      <c r="H1260" s="178"/>
      <c r="I1260" s="57"/>
      <c r="J1260" s="15"/>
      <c r="K1260" s="15"/>
      <c r="L1260" s="15">
        <f t="shared" si="207"/>
        <v>0</v>
      </c>
      <c r="M1260" s="15"/>
      <c r="N1260" s="15">
        <f t="shared" si="208"/>
        <v>0</v>
      </c>
      <c r="O1260" s="15" t="str">
        <f>IF(AND(A1260='BANG KE NL'!$M$11,TH!C1260="NL",LEFT(D1260,1)="N"),"x","")</f>
        <v/>
      </c>
    </row>
    <row r="1261" spans="1:15" hidden="1">
      <c r="A1261" s="24" t="str">
        <f t="shared" si="209"/>
        <v/>
      </c>
      <c r="B1261" s="176" t="str">
        <f>IF(AND(MONTH(E1261)='IN-NX'!$J$5,'IN-NX'!$D$7=(D1261&amp;"/"&amp;C1261)),"x","")</f>
        <v/>
      </c>
      <c r="C1261" s="173"/>
      <c r="D1261" s="173"/>
      <c r="E1261" s="70"/>
      <c r="F1261" s="62"/>
      <c r="G1261" s="19"/>
      <c r="H1261" s="178"/>
      <c r="I1261" s="57"/>
      <c r="J1261" s="15"/>
      <c r="K1261" s="15"/>
      <c r="L1261" s="15">
        <f t="shared" ref="L1261:L1324" si="210">ROUND(J1261*K1261,0)</f>
        <v>0</v>
      </c>
      <c r="M1261" s="15"/>
      <c r="N1261" s="15">
        <f t="shared" ref="N1261:N1324" si="211">ROUND(J1261*M1261,0)</f>
        <v>0</v>
      </c>
      <c r="O1261" s="15" t="str">
        <f>IF(AND(A1261='BANG KE NL'!$M$11,TH!C1261="NL",LEFT(D1261,1)="N"),"x","")</f>
        <v/>
      </c>
    </row>
    <row r="1262" spans="1:15" hidden="1">
      <c r="A1262" s="24" t="str">
        <f t="shared" si="209"/>
        <v/>
      </c>
      <c r="B1262" s="176" t="str">
        <f>IF(AND(MONTH(E1262)='IN-NX'!$J$5,'IN-NX'!$D$7=(D1262&amp;"/"&amp;C1262)),"x","")</f>
        <v/>
      </c>
      <c r="C1262" s="173"/>
      <c r="D1262" s="173"/>
      <c r="E1262" s="70"/>
      <c r="F1262" s="62"/>
      <c r="G1262" s="19"/>
      <c r="H1262" s="178"/>
      <c r="I1262" s="57"/>
      <c r="J1262" s="15"/>
      <c r="K1262" s="15"/>
      <c r="L1262" s="15">
        <f t="shared" si="210"/>
        <v>0</v>
      </c>
      <c r="M1262" s="15"/>
      <c r="N1262" s="15">
        <f t="shared" si="211"/>
        <v>0</v>
      </c>
      <c r="O1262" s="15" t="str">
        <f>IF(AND(A1262='BANG KE NL'!$M$11,TH!C1262="NL",LEFT(D1262,1)="N"),"x","")</f>
        <v/>
      </c>
    </row>
    <row r="1263" spans="1:15" hidden="1">
      <c r="A1263" s="24" t="str">
        <f t="shared" si="209"/>
        <v/>
      </c>
      <c r="B1263" s="176" t="str">
        <f>IF(AND(MONTH(E1263)='IN-NX'!$J$5,'IN-NX'!$D$7=(D1263&amp;"/"&amp;C1263)),"x","")</f>
        <v/>
      </c>
      <c r="C1263" s="173"/>
      <c r="D1263" s="173"/>
      <c r="E1263" s="70"/>
      <c r="F1263" s="62"/>
      <c r="G1263" s="19"/>
      <c r="H1263" s="178"/>
      <c r="I1263" s="57"/>
      <c r="J1263" s="15"/>
      <c r="K1263" s="15"/>
      <c r="L1263" s="15">
        <f t="shared" si="210"/>
        <v>0</v>
      </c>
      <c r="M1263" s="15"/>
      <c r="N1263" s="15">
        <f t="shared" si="211"/>
        <v>0</v>
      </c>
      <c r="O1263" s="15" t="str">
        <f>IF(AND(A1263='BANG KE NL'!$M$11,TH!C1263="NL",LEFT(D1263,1)="N"),"x","")</f>
        <v/>
      </c>
    </row>
    <row r="1264" spans="1:15" hidden="1">
      <c r="A1264" s="24" t="str">
        <f t="shared" si="209"/>
        <v/>
      </c>
      <c r="B1264" s="176" t="str">
        <f>IF(AND(MONTH(E1264)='IN-NX'!$J$5,'IN-NX'!$D$7=(D1264&amp;"/"&amp;C1264)),"x","")</f>
        <v/>
      </c>
      <c r="C1264" s="173"/>
      <c r="D1264" s="173"/>
      <c r="E1264" s="70"/>
      <c r="F1264" s="62"/>
      <c r="G1264" s="19"/>
      <c r="H1264" s="178"/>
      <c r="I1264" s="57"/>
      <c r="J1264" s="15"/>
      <c r="K1264" s="15"/>
      <c r="L1264" s="15">
        <f t="shared" si="210"/>
        <v>0</v>
      </c>
      <c r="M1264" s="15"/>
      <c r="N1264" s="15">
        <f t="shared" si="211"/>
        <v>0</v>
      </c>
      <c r="O1264" s="15" t="str">
        <f>IF(AND(A1264='BANG KE NL'!$M$11,TH!C1264="NL",LEFT(D1264,1)="N"),"x","")</f>
        <v/>
      </c>
    </row>
    <row r="1265" spans="1:15" hidden="1">
      <c r="A1265" s="24" t="str">
        <f t="shared" si="209"/>
        <v/>
      </c>
      <c r="B1265" s="176" t="str">
        <f>IF(AND(MONTH(E1265)='IN-NX'!$J$5,'IN-NX'!$D$7=(D1265&amp;"/"&amp;C1265)),"x","")</f>
        <v/>
      </c>
      <c r="C1265" s="173"/>
      <c r="D1265" s="173"/>
      <c r="E1265" s="70"/>
      <c r="F1265" s="62"/>
      <c r="G1265" s="19"/>
      <c r="H1265" s="178"/>
      <c r="I1265" s="57"/>
      <c r="J1265" s="15"/>
      <c r="K1265" s="15"/>
      <c r="L1265" s="15">
        <f t="shared" si="210"/>
        <v>0</v>
      </c>
      <c r="M1265" s="15"/>
      <c r="N1265" s="15">
        <f t="shared" si="211"/>
        <v>0</v>
      </c>
      <c r="O1265" s="15" t="str">
        <f>IF(AND(A1265='BANG KE NL'!$M$11,TH!C1265="NL",LEFT(D1265,1)="N"),"x","")</f>
        <v/>
      </c>
    </row>
    <row r="1266" spans="1:15" hidden="1">
      <c r="A1266" s="24" t="str">
        <f t="shared" si="209"/>
        <v/>
      </c>
      <c r="B1266" s="176" t="str">
        <f>IF(AND(MONTH(E1266)='IN-NX'!$J$5,'IN-NX'!$D$7=(D1266&amp;"/"&amp;C1266)),"x","")</f>
        <v/>
      </c>
      <c r="C1266" s="173"/>
      <c r="D1266" s="173"/>
      <c r="E1266" s="70"/>
      <c r="F1266" s="62"/>
      <c r="G1266" s="19"/>
      <c r="H1266" s="178"/>
      <c r="I1266" s="57"/>
      <c r="J1266" s="15"/>
      <c r="K1266" s="15"/>
      <c r="L1266" s="15">
        <f t="shared" si="210"/>
        <v>0</v>
      </c>
      <c r="M1266" s="15"/>
      <c r="N1266" s="15">
        <f t="shared" si="211"/>
        <v>0</v>
      </c>
      <c r="O1266" s="15" t="str">
        <f>IF(AND(A1266='BANG KE NL'!$M$11,TH!C1266="NL",LEFT(D1266,1)="N"),"x","")</f>
        <v/>
      </c>
    </row>
    <row r="1267" spans="1:15" hidden="1">
      <c r="A1267" s="24" t="str">
        <f t="shared" si="209"/>
        <v/>
      </c>
      <c r="B1267" s="176" t="str">
        <f>IF(AND(MONTH(E1267)='IN-NX'!$J$5,'IN-NX'!$D$7=(D1267&amp;"/"&amp;C1267)),"x","")</f>
        <v/>
      </c>
      <c r="C1267" s="173"/>
      <c r="D1267" s="173"/>
      <c r="E1267" s="70"/>
      <c r="F1267" s="62"/>
      <c r="G1267" s="19"/>
      <c r="H1267" s="178"/>
      <c r="I1267" s="57"/>
      <c r="J1267" s="15"/>
      <c r="K1267" s="15"/>
      <c r="L1267" s="15">
        <f t="shared" si="210"/>
        <v>0</v>
      </c>
      <c r="M1267" s="15"/>
      <c r="N1267" s="15">
        <f t="shared" si="211"/>
        <v>0</v>
      </c>
      <c r="O1267" s="15" t="str">
        <f>IF(AND(A1267='BANG KE NL'!$M$11,TH!C1267="NL",LEFT(D1267,1)="N"),"x","")</f>
        <v/>
      </c>
    </row>
    <row r="1268" spans="1:15" hidden="1">
      <c r="A1268" s="24" t="str">
        <f t="shared" si="209"/>
        <v/>
      </c>
      <c r="B1268" s="176" t="str">
        <f>IF(AND(MONTH(E1268)='IN-NX'!$J$5,'IN-NX'!$D$7=(D1268&amp;"/"&amp;C1268)),"x","")</f>
        <v/>
      </c>
      <c r="C1268" s="173"/>
      <c r="D1268" s="173"/>
      <c r="E1268" s="70"/>
      <c r="F1268" s="62"/>
      <c r="G1268" s="19"/>
      <c r="H1268" s="178"/>
      <c r="I1268" s="57"/>
      <c r="J1268" s="15"/>
      <c r="K1268" s="15"/>
      <c r="L1268" s="15">
        <f t="shared" si="210"/>
        <v>0</v>
      </c>
      <c r="M1268" s="15"/>
      <c r="N1268" s="15">
        <f t="shared" si="211"/>
        <v>0</v>
      </c>
      <c r="O1268" s="15" t="str">
        <f>IF(AND(A1268='BANG KE NL'!$M$11,TH!C1268="NL",LEFT(D1268,1)="N"),"x","")</f>
        <v/>
      </c>
    </row>
    <row r="1269" spans="1:15" hidden="1">
      <c r="A1269" s="24" t="str">
        <f t="shared" si="209"/>
        <v/>
      </c>
      <c r="B1269" s="176" t="str">
        <f>IF(AND(MONTH(E1269)='IN-NX'!$J$5,'IN-NX'!$D$7=(D1269&amp;"/"&amp;C1269)),"x","")</f>
        <v/>
      </c>
      <c r="C1269" s="173"/>
      <c r="D1269" s="173"/>
      <c r="E1269" s="70"/>
      <c r="F1269" s="62"/>
      <c r="G1269" s="19"/>
      <c r="H1269" s="178"/>
      <c r="I1269" s="57"/>
      <c r="J1269" s="15"/>
      <c r="K1269" s="15"/>
      <c r="L1269" s="15">
        <f t="shared" si="210"/>
        <v>0</v>
      </c>
      <c r="M1269" s="15"/>
      <c r="N1269" s="15">
        <f t="shared" si="211"/>
        <v>0</v>
      </c>
      <c r="O1269" s="15" t="str">
        <f>IF(AND(A1269='BANG KE NL'!$M$11,TH!C1269="NL",LEFT(D1269,1)="N"),"x","")</f>
        <v/>
      </c>
    </row>
    <row r="1270" spans="1:15" hidden="1">
      <c r="A1270" s="24" t="str">
        <f t="shared" si="209"/>
        <v/>
      </c>
      <c r="B1270" s="176" t="str">
        <f>IF(AND(MONTH(E1270)='IN-NX'!$J$5,'IN-NX'!$D$7=(D1270&amp;"/"&amp;C1270)),"x","")</f>
        <v/>
      </c>
      <c r="C1270" s="173"/>
      <c r="D1270" s="173"/>
      <c r="E1270" s="70"/>
      <c r="F1270" s="62"/>
      <c r="G1270" s="19"/>
      <c r="H1270" s="178"/>
      <c r="I1270" s="57"/>
      <c r="J1270" s="15"/>
      <c r="K1270" s="15"/>
      <c r="L1270" s="15">
        <f t="shared" si="210"/>
        <v>0</v>
      </c>
      <c r="M1270" s="15"/>
      <c r="N1270" s="15">
        <f t="shared" si="211"/>
        <v>0</v>
      </c>
      <c r="O1270" s="15" t="str">
        <f>IF(AND(A1270='BANG KE NL'!$M$11,TH!C1270="NL",LEFT(D1270,1)="N"),"x","")</f>
        <v/>
      </c>
    </row>
    <row r="1271" spans="1:15" hidden="1">
      <c r="A1271" s="24" t="str">
        <f t="shared" si="209"/>
        <v/>
      </c>
      <c r="B1271" s="176" t="str">
        <f>IF(AND(MONTH(E1271)='IN-NX'!$J$5,'IN-NX'!$D$7=(D1271&amp;"/"&amp;C1271)),"x","")</f>
        <v/>
      </c>
      <c r="C1271" s="173"/>
      <c r="D1271" s="173"/>
      <c r="E1271" s="70"/>
      <c r="F1271" s="62"/>
      <c r="G1271" s="19"/>
      <c r="H1271" s="178"/>
      <c r="I1271" s="57"/>
      <c r="J1271" s="15"/>
      <c r="K1271" s="15"/>
      <c r="L1271" s="15">
        <f t="shared" si="210"/>
        <v>0</v>
      </c>
      <c r="M1271" s="15"/>
      <c r="N1271" s="15">
        <f t="shared" si="211"/>
        <v>0</v>
      </c>
      <c r="O1271" s="15" t="str">
        <f>IF(AND(A1271='BANG KE NL'!$M$11,TH!C1271="NL",LEFT(D1271,1)="N"),"x","")</f>
        <v/>
      </c>
    </row>
    <row r="1272" spans="1:15" hidden="1">
      <c r="A1272" s="24" t="str">
        <f t="shared" si="209"/>
        <v/>
      </c>
      <c r="B1272" s="176" t="str">
        <f>IF(AND(MONTH(E1272)='IN-NX'!$J$5,'IN-NX'!$D$7=(D1272&amp;"/"&amp;C1272)),"x","")</f>
        <v/>
      </c>
      <c r="C1272" s="173"/>
      <c r="D1272" s="173"/>
      <c r="E1272" s="70"/>
      <c r="F1272" s="62"/>
      <c r="G1272" s="19"/>
      <c r="H1272" s="178"/>
      <c r="I1272" s="57"/>
      <c r="J1272" s="15"/>
      <c r="K1272" s="15"/>
      <c r="L1272" s="15">
        <f t="shared" si="210"/>
        <v>0</v>
      </c>
      <c r="M1272" s="15"/>
      <c r="N1272" s="15">
        <f t="shared" si="211"/>
        <v>0</v>
      </c>
      <c r="O1272" s="15" t="str">
        <f>IF(AND(A1272='BANG KE NL'!$M$11,TH!C1272="NL",LEFT(D1272,1)="N"),"x","")</f>
        <v/>
      </c>
    </row>
    <row r="1273" spans="1:15" hidden="1">
      <c r="A1273" s="24" t="str">
        <f t="shared" si="209"/>
        <v/>
      </c>
      <c r="B1273" s="176" t="str">
        <f>IF(AND(MONTH(E1273)='IN-NX'!$J$5,'IN-NX'!$D$7=(D1273&amp;"/"&amp;C1273)),"x","")</f>
        <v/>
      </c>
      <c r="C1273" s="173"/>
      <c r="D1273" s="173"/>
      <c r="E1273" s="70"/>
      <c r="F1273" s="62"/>
      <c r="G1273" s="19"/>
      <c r="H1273" s="178"/>
      <c r="I1273" s="57"/>
      <c r="J1273" s="15"/>
      <c r="K1273" s="15"/>
      <c r="L1273" s="15">
        <f t="shared" si="210"/>
        <v>0</v>
      </c>
      <c r="M1273" s="15"/>
      <c r="N1273" s="15">
        <f t="shared" si="211"/>
        <v>0</v>
      </c>
      <c r="O1273" s="15" t="str">
        <f>IF(AND(A1273='BANG KE NL'!$M$11,TH!C1273="NL",LEFT(D1273,1)="N"),"x","")</f>
        <v/>
      </c>
    </row>
    <row r="1274" spans="1:15" hidden="1">
      <c r="A1274" s="24" t="str">
        <f t="shared" si="209"/>
        <v/>
      </c>
      <c r="B1274" s="176" t="str">
        <f>IF(AND(MONTH(E1274)='IN-NX'!$J$5,'IN-NX'!$D$7=(D1274&amp;"/"&amp;C1274)),"x","")</f>
        <v/>
      </c>
      <c r="C1274" s="173"/>
      <c r="D1274" s="173"/>
      <c r="E1274" s="70"/>
      <c r="F1274" s="62"/>
      <c r="G1274" s="19"/>
      <c r="H1274" s="178"/>
      <c r="I1274" s="57"/>
      <c r="J1274" s="15"/>
      <c r="K1274" s="15"/>
      <c r="L1274" s="15">
        <f t="shared" si="210"/>
        <v>0</v>
      </c>
      <c r="M1274" s="15"/>
      <c r="N1274" s="15">
        <f t="shared" si="211"/>
        <v>0</v>
      </c>
      <c r="O1274" s="15" t="str">
        <f>IF(AND(A1274='BANG KE NL'!$M$11,TH!C1274="NL",LEFT(D1274,1)="N"),"x","")</f>
        <v/>
      </c>
    </row>
    <row r="1275" spans="1:15" hidden="1">
      <c r="A1275" s="24" t="str">
        <f t="shared" si="209"/>
        <v/>
      </c>
      <c r="B1275" s="176" t="str">
        <f>IF(AND(MONTH(E1275)='IN-NX'!$J$5,'IN-NX'!$D$7=(D1275&amp;"/"&amp;C1275)),"x","")</f>
        <v/>
      </c>
      <c r="C1275" s="173"/>
      <c r="D1275" s="173"/>
      <c r="E1275" s="70"/>
      <c r="F1275" s="62"/>
      <c r="G1275" s="19"/>
      <c r="H1275" s="178"/>
      <c r="I1275" s="57"/>
      <c r="J1275" s="15"/>
      <c r="K1275" s="15"/>
      <c r="L1275" s="15">
        <f t="shared" si="210"/>
        <v>0</v>
      </c>
      <c r="M1275" s="15"/>
      <c r="N1275" s="15">
        <f t="shared" si="211"/>
        <v>0</v>
      </c>
      <c r="O1275" s="15" t="str">
        <f>IF(AND(A1275='BANG KE NL'!$M$11,TH!C1275="NL",LEFT(D1275,1)="N"),"x","")</f>
        <v/>
      </c>
    </row>
    <row r="1276" spans="1:15" hidden="1">
      <c r="A1276" s="24" t="str">
        <f t="shared" si="209"/>
        <v/>
      </c>
      <c r="B1276" s="176" t="str">
        <f>IF(AND(MONTH(E1276)='IN-NX'!$J$5,'IN-NX'!$D$7=(D1276&amp;"/"&amp;C1276)),"x","")</f>
        <v/>
      </c>
      <c r="C1276" s="173"/>
      <c r="D1276" s="173"/>
      <c r="E1276" s="70"/>
      <c r="F1276" s="62"/>
      <c r="G1276" s="19"/>
      <c r="H1276" s="178"/>
      <c r="I1276" s="57"/>
      <c r="J1276" s="15"/>
      <c r="K1276" s="15"/>
      <c r="L1276" s="15">
        <f t="shared" si="210"/>
        <v>0</v>
      </c>
      <c r="M1276" s="15"/>
      <c r="N1276" s="15">
        <f t="shared" si="211"/>
        <v>0</v>
      </c>
      <c r="O1276" s="15" t="str">
        <f>IF(AND(A1276='BANG KE NL'!$M$11,TH!C1276="NL",LEFT(D1276,1)="N"),"x","")</f>
        <v/>
      </c>
    </row>
    <row r="1277" spans="1:15" hidden="1">
      <c r="A1277" s="24" t="str">
        <f t="shared" si="209"/>
        <v/>
      </c>
      <c r="B1277" s="176" t="str">
        <f>IF(AND(MONTH(E1277)='IN-NX'!$J$5,'IN-NX'!$D$7=(D1277&amp;"/"&amp;C1277)),"x","")</f>
        <v/>
      </c>
      <c r="C1277" s="173"/>
      <c r="D1277" s="173"/>
      <c r="E1277" s="70"/>
      <c r="F1277" s="62"/>
      <c r="G1277" s="19"/>
      <c r="H1277" s="178"/>
      <c r="I1277" s="57"/>
      <c r="J1277" s="15"/>
      <c r="K1277" s="15"/>
      <c r="L1277" s="15">
        <f t="shared" si="210"/>
        <v>0</v>
      </c>
      <c r="M1277" s="15"/>
      <c r="N1277" s="15">
        <f t="shared" si="211"/>
        <v>0</v>
      </c>
      <c r="O1277" s="15" t="str">
        <f>IF(AND(A1277='BANG KE NL'!$M$11,TH!C1277="NL",LEFT(D1277,1)="N"),"x","")</f>
        <v/>
      </c>
    </row>
    <row r="1278" spans="1:15" hidden="1">
      <c r="A1278" s="24" t="str">
        <f t="shared" si="209"/>
        <v/>
      </c>
      <c r="B1278" s="176" t="str">
        <f>IF(AND(MONTH(E1278)='IN-NX'!$J$5,'IN-NX'!$D$7=(D1278&amp;"/"&amp;C1278)),"x","")</f>
        <v/>
      </c>
      <c r="C1278" s="173"/>
      <c r="D1278" s="173"/>
      <c r="E1278" s="70"/>
      <c r="F1278" s="62"/>
      <c r="G1278" s="19"/>
      <c r="H1278" s="178"/>
      <c r="I1278" s="57"/>
      <c r="J1278" s="15"/>
      <c r="K1278" s="15"/>
      <c r="L1278" s="15">
        <f t="shared" si="210"/>
        <v>0</v>
      </c>
      <c r="M1278" s="15"/>
      <c r="N1278" s="15">
        <f t="shared" si="211"/>
        <v>0</v>
      </c>
      <c r="O1278" s="15" t="str">
        <f>IF(AND(A1278='BANG KE NL'!$M$11,TH!C1278="NL",LEFT(D1278,1)="N"),"x","")</f>
        <v/>
      </c>
    </row>
    <row r="1279" spans="1:15" hidden="1">
      <c r="A1279" s="24" t="str">
        <f t="shared" si="209"/>
        <v/>
      </c>
      <c r="B1279" s="176" t="str">
        <f>IF(AND(MONTH(E1279)='IN-NX'!$J$5,'IN-NX'!$D$7=(D1279&amp;"/"&amp;C1279)),"x","")</f>
        <v/>
      </c>
      <c r="C1279" s="173"/>
      <c r="D1279" s="173"/>
      <c r="E1279" s="70"/>
      <c r="F1279" s="62"/>
      <c r="G1279" s="19"/>
      <c r="H1279" s="178"/>
      <c r="I1279" s="57"/>
      <c r="J1279" s="15"/>
      <c r="K1279" s="15"/>
      <c r="L1279" s="15">
        <f t="shared" si="210"/>
        <v>0</v>
      </c>
      <c r="M1279" s="15"/>
      <c r="N1279" s="15">
        <f t="shared" si="211"/>
        <v>0</v>
      </c>
      <c r="O1279" s="15" t="str">
        <f>IF(AND(A1279='BANG KE NL'!$M$11,TH!C1279="NL",LEFT(D1279,1)="N"),"x","")</f>
        <v/>
      </c>
    </row>
    <row r="1280" spans="1:15" hidden="1">
      <c r="A1280" s="24" t="str">
        <f t="shared" si="209"/>
        <v/>
      </c>
      <c r="B1280" s="176" t="str">
        <f>IF(AND(MONTH(E1280)='IN-NX'!$J$5,'IN-NX'!$D$7=(D1280&amp;"/"&amp;C1280)),"x","")</f>
        <v/>
      </c>
      <c r="C1280" s="173"/>
      <c r="D1280" s="173"/>
      <c r="E1280" s="70"/>
      <c r="F1280" s="62"/>
      <c r="G1280" s="19"/>
      <c r="H1280" s="178"/>
      <c r="I1280" s="57"/>
      <c r="J1280" s="15"/>
      <c r="K1280" s="15"/>
      <c r="L1280" s="15">
        <f t="shared" si="210"/>
        <v>0</v>
      </c>
      <c r="M1280" s="15"/>
      <c r="N1280" s="15">
        <f t="shared" si="211"/>
        <v>0</v>
      </c>
      <c r="O1280" s="15" t="str">
        <f>IF(AND(A1280='BANG KE NL'!$M$11,TH!C1280="NL",LEFT(D1280,1)="N"),"x","")</f>
        <v/>
      </c>
    </row>
    <row r="1281" spans="1:15" hidden="1">
      <c r="A1281" s="24" t="str">
        <f t="shared" si="209"/>
        <v/>
      </c>
      <c r="B1281" s="176" t="str">
        <f>IF(AND(MONTH(E1281)='IN-NX'!$J$5,'IN-NX'!$D$7=(D1281&amp;"/"&amp;C1281)),"x","")</f>
        <v/>
      </c>
      <c r="C1281" s="173"/>
      <c r="D1281" s="173"/>
      <c r="E1281" s="70"/>
      <c r="F1281" s="62"/>
      <c r="G1281" s="19"/>
      <c r="H1281" s="178"/>
      <c r="I1281" s="57"/>
      <c r="J1281" s="15"/>
      <c r="K1281" s="15"/>
      <c r="L1281" s="15">
        <f t="shared" si="210"/>
        <v>0</v>
      </c>
      <c r="M1281" s="15"/>
      <c r="N1281" s="15">
        <f t="shared" si="211"/>
        <v>0</v>
      </c>
      <c r="O1281" s="15" t="str">
        <f>IF(AND(A1281='BANG KE NL'!$M$11,TH!C1281="NL",LEFT(D1281,1)="N"),"x","")</f>
        <v/>
      </c>
    </row>
    <row r="1282" spans="1:15" hidden="1">
      <c r="A1282" s="24" t="str">
        <f t="shared" si="209"/>
        <v/>
      </c>
      <c r="B1282" s="176" t="str">
        <f>IF(AND(MONTH(E1282)='IN-NX'!$J$5,'IN-NX'!$D$7=(D1282&amp;"/"&amp;C1282)),"x","")</f>
        <v/>
      </c>
      <c r="C1282" s="173"/>
      <c r="D1282" s="173"/>
      <c r="E1282" s="70"/>
      <c r="F1282" s="62"/>
      <c r="G1282" s="19"/>
      <c r="H1282" s="178"/>
      <c r="I1282" s="57"/>
      <c r="J1282" s="15"/>
      <c r="K1282" s="15"/>
      <c r="L1282" s="15">
        <f t="shared" si="210"/>
        <v>0</v>
      </c>
      <c r="M1282" s="15"/>
      <c r="N1282" s="15">
        <f t="shared" si="211"/>
        <v>0</v>
      </c>
      <c r="O1282" s="15" t="str">
        <f>IF(AND(A1282='BANG KE NL'!$M$11,TH!C1282="NL",LEFT(D1282,1)="N"),"x","")</f>
        <v/>
      </c>
    </row>
    <row r="1283" spans="1:15" hidden="1">
      <c r="A1283" s="24" t="str">
        <f t="shared" si="209"/>
        <v/>
      </c>
      <c r="B1283" s="176" t="str">
        <f>IF(AND(MONTH(E1283)='IN-NX'!$J$5,'IN-NX'!$D$7=(D1283&amp;"/"&amp;C1283)),"x","")</f>
        <v/>
      </c>
      <c r="C1283" s="173"/>
      <c r="D1283" s="173"/>
      <c r="E1283" s="70"/>
      <c r="F1283" s="62"/>
      <c r="G1283" s="19"/>
      <c r="H1283" s="178"/>
      <c r="I1283" s="57"/>
      <c r="J1283" s="15"/>
      <c r="K1283" s="15"/>
      <c r="L1283" s="15">
        <f t="shared" si="210"/>
        <v>0</v>
      </c>
      <c r="M1283" s="15"/>
      <c r="N1283" s="15">
        <f t="shared" si="211"/>
        <v>0</v>
      </c>
      <c r="O1283" s="15" t="str">
        <f>IF(AND(A1283='BANG KE NL'!$M$11,TH!C1283="NL",LEFT(D1283,1)="N"),"x","")</f>
        <v/>
      </c>
    </row>
    <row r="1284" spans="1:15" hidden="1">
      <c r="A1284" s="24" t="str">
        <f t="shared" si="209"/>
        <v/>
      </c>
      <c r="B1284" s="176" t="str">
        <f>IF(AND(MONTH(E1284)='IN-NX'!$J$5,'IN-NX'!$D$7=(D1284&amp;"/"&amp;C1284)),"x","")</f>
        <v/>
      </c>
      <c r="C1284" s="173"/>
      <c r="D1284" s="173"/>
      <c r="E1284" s="70"/>
      <c r="F1284" s="62"/>
      <c r="G1284" s="19"/>
      <c r="H1284" s="178"/>
      <c r="I1284" s="57"/>
      <c r="J1284" s="15"/>
      <c r="K1284" s="15"/>
      <c r="L1284" s="15">
        <f t="shared" si="210"/>
        <v>0</v>
      </c>
      <c r="M1284" s="15"/>
      <c r="N1284" s="15">
        <f t="shared" si="211"/>
        <v>0</v>
      </c>
      <c r="O1284" s="15" t="str">
        <f>IF(AND(A1284='BANG KE NL'!$M$11,TH!C1284="NL",LEFT(D1284,1)="N"),"x","")</f>
        <v/>
      </c>
    </row>
    <row r="1285" spans="1:15" hidden="1">
      <c r="A1285" s="24" t="str">
        <f t="shared" si="209"/>
        <v/>
      </c>
      <c r="B1285" s="176" t="str">
        <f>IF(AND(MONTH(E1285)='IN-NX'!$J$5,'IN-NX'!$D$7=(D1285&amp;"/"&amp;C1285)),"x","")</f>
        <v/>
      </c>
      <c r="C1285" s="173"/>
      <c r="D1285" s="173"/>
      <c r="E1285" s="70"/>
      <c r="F1285" s="62"/>
      <c r="G1285" s="19"/>
      <c r="H1285" s="178"/>
      <c r="I1285" s="57"/>
      <c r="J1285" s="15"/>
      <c r="K1285" s="15"/>
      <c r="L1285" s="15">
        <f t="shared" si="210"/>
        <v>0</v>
      </c>
      <c r="M1285" s="15"/>
      <c r="N1285" s="15">
        <f t="shared" si="211"/>
        <v>0</v>
      </c>
      <c r="O1285" s="15" t="str">
        <f>IF(AND(A1285='BANG KE NL'!$M$11,TH!C1285="NL",LEFT(D1285,1)="N"),"x","")</f>
        <v/>
      </c>
    </row>
    <row r="1286" spans="1:15" hidden="1">
      <c r="A1286" s="24" t="str">
        <f t="shared" si="209"/>
        <v/>
      </c>
      <c r="B1286" s="176" t="str">
        <f>IF(AND(MONTH(E1286)='IN-NX'!$J$5,'IN-NX'!$D$7=(D1286&amp;"/"&amp;C1286)),"x","")</f>
        <v/>
      </c>
      <c r="C1286" s="173"/>
      <c r="D1286" s="173"/>
      <c r="E1286" s="70"/>
      <c r="F1286" s="62"/>
      <c r="G1286" s="19"/>
      <c r="H1286" s="178"/>
      <c r="I1286" s="57"/>
      <c r="J1286" s="15"/>
      <c r="K1286" s="15"/>
      <c r="L1286" s="15">
        <f t="shared" si="210"/>
        <v>0</v>
      </c>
      <c r="M1286" s="15"/>
      <c r="N1286" s="15">
        <f t="shared" si="211"/>
        <v>0</v>
      </c>
      <c r="O1286" s="15" t="str">
        <f>IF(AND(A1286='BANG KE NL'!$M$11,TH!C1286="NL",LEFT(D1286,1)="N"),"x","")</f>
        <v/>
      </c>
    </row>
    <row r="1287" spans="1:15" hidden="1">
      <c r="A1287" s="24" t="str">
        <f t="shared" si="209"/>
        <v/>
      </c>
      <c r="B1287" s="176" t="str">
        <f>IF(AND(MONTH(E1287)='IN-NX'!$J$5,'IN-NX'!$D$7=(D1287&amp;"/"&amp;C1287)),"x","")</f>
        <v/>
      </c>
      <c r="C1287" s="173"/>
      <c r="D1287" s="173"/>
      <c r="E1287" s="70"/>
      <c r="F1287" s="62"/>
      <c r="G1287" s="19"/>
      <c r="H1287" s="178"/>
      <c r="I1287" s="57"/>
      <c r="J1287" s="15"/>
      <c r="K1287" s="15"/>
      <c r="L1287" s="15">
        <f t="shared" si="210"/>
        <v>0</v>
      </c>
      <c r="M1287" s="15"/>
      <c r="N1287" s="15">
        <f t="shared" si="211"/>
        <v>0</v>
      </c>
      <c r="O1287" s="15" t="str">
        <f>IF(AND(A1287='BANG KE NL'!$M$11,TH!C1287="NL",LEFT(D1287,1)="N"),"x","")</f>
        <v/>
      </c>
    </row>
    <row r="1288" spans="1:15" hidden="1">
      <c r="A1288" s="24" t="str">
        <f t="shared" si="209"/>
        <v/>
      </c>
      <c r="B1288" s="176" t="str">
        <f>IF(AND(MONTH(E1288)='IN-NX'!$J$5,'IN-NX'!$D$7=(D1288&amp;"/"&amp;C1288)),"x","")</f>
        <v/>
      </c>
      <c r="C1288" s="173"/>
      <c r="D1288" s="173"/>
      <c r="E1288" s="70"/>
      <c r="F1288" s="62"/>
      <c r="G1288" s="19"/>
      <c r="H1288" s="178"/>
      <c r="I1288" s="57"/>
      <c r="J1288" s="15"/>
      <c r="K1288" s="15"/>
      <c r="L1288" s="15">
        <f t="shared" si="210"/>
        <v>0</v>
      </c>
      <c r="M1288" s="15"/>
      <c r="N1288" s="15">
        <f t="shared" si="211"/>
        <v>0</v>
      </c>
      <c r="O1288" s="15" t="str">
        <f>IF(AND(A1288='BANG KE NL'!$M$11,TH!C1288="NL",LEFT(D1288,1)="N"),"x","")</f>
        <v/>
      </c>
    </row>
    <row r="1289" spans="1:15" hidden="1">
      <c r="A1289" s="24" t="str">
        <f t="shared" si="209"/>
        <v/>
      </c>
      <c r="B1289" s="176" t="str">
        <f>IF(AND(MONTH(E1289)='IN-NX'!$J$5,'IN-NX'!$D$7=(D1289&amp;"/"&amp;C1289)),"x","")</f>
        <v/>
      </c>
      <c r="C1289" s="173"/>
      <c r="D1289" s="173"/>
      <c r="E1289" s="70"/>
      <c r="F1289" s="62"/>
      <c r="G1289" s="19"/>
      <c r="H1289" s="178"/>
      <c r="I1289" s="57"/>
      <c r="J1289" s="15"/>
      <c r="K1289" s="15"/>
      <c r="L1289" s="15">
        <f t="shared" si="210"/>
        <v>0</v>
      </c>
      <c r="M1289" s="15"/>
      <c r="N1289" s="15">
        <f t="shared" si="211"/>
        <v>0</v>
      </c>
      <c r="O1289" s="15" t="str">
        <f>IF(AND(A1289='BANG KE NL'!$M$11,TH!C1289="NL",LEFT(D1289,1)="N"),"x","")</f>
        <v/>
      </c>
    </row>
    <row r="1290" spans="1:15" hidden="1">
      <c r="A1290" s="24" t="str">
        <f t="shared" si="209"/>
        <v/>
      </c>
      <c r="B1290" s="176" t="str">
        <f>IF(AND(MONTH(E1290)='IN-NX'!$J$5,'IN-NX'!$D$7=(D1290&amp;"/"&amp;C1290)),"x","")</f>
        <v/>
      </c>
      <c r="C1290" s="173"/>
      <c r="D1290" s="173"/>
      <c r="E1290" s="70"/>
      <c r="F1290" s="62"/>
      <c r="G1290" s="19"/>
      <c r="H1290" s="178"/>
      <c r="I1290" s="57"/>
      <c r="J1290" s="15"/>
      <c r="K1290" s="15"/>
      <c r="L1290" s="15">
        <f t="shared" si="210"/>
        <v>0</v>
      </c>
      <c r="M1290" s="15"/>
      <c r="N1290" s="15">
        <f t="shared" si="211"/>
        <v>0</v>
      </c>
      <c r="O1290" s="15" t="str">
        <f>IF(AND(A1290='BANG KE NL'!$M$11,TH!C1290="NL",LEFT(D1290,1)="N"),"x","")</f>
        <v/>
      </c>
    </row>
    <row r="1291" spans="1:15" hidden="1">
      <c r="A1291" s="24" t="str">
        <f t="shared" si="209"/>
        <v/>
      </c>
      <c r="B1291" s="176" t="str">
        <f>IF(AND(MONTH(E1291)='IN-NX'!$J$5,'IN-NX'!$D$7=(D1291&amp;"/"&amp;C1291)),"x","")</f>
        <v/>
      </c>
      <c r="C1291" s="173"/>
      <c r="D1291" s="173"/>
      <c r="E1291" s="70"/>
      <c r="F1291" s="62"/>
      <c r="G1291" s="19"/>
      <c r="H1291" s="178"/>
      <c r="I1291" s="57"/>
      <c r="J1291" s="15"/>
      <c r="K1291" s="15"/>
      <c r="L1291" s="15">
        <f t="shared" si="210"/>
        <v>0</v>
      </c>
      <c r="M1291" s="15"/>
      <c r="N1291" s="15">
        <f t="shared" si="211"/>
        <v>0</v>
      </c>
      <c r="O1291" s="15" t="str">
        <f>IF(AND(A1291='BANG KE NL'!$M$11,TH!C1291="NL",LEFT(D1291,1)="N"),"x","")</f>
        <v/>
      </c>
    </row>
    <row r="1292" spans="1:15" hidden="1">
      <c r="A1292" s="24" t="str">
        <f t="shared" si="209"/>
        <v/>
      </c>
      <c r="B1292" s="176" t="str">
        <f>IF(AND(MONTH(E1292)='IN-NX'!$J$5,'IN-NX'!$D$7=(D1292&amp;"/"&amp;C1292)),"x","")</f>
        <v/>
      </c>
      <c r="C1292" s="173"/>
      <c r="D1292" s="173"/>
      <c r="E1292" s="70"/>
      <c r="F1292" s="62"/>
      <c r="G1292" s="19"/>
      <c r="H1292" s="178"/>
      <c r="I1292" s="57"/>
      <c r="J1292" s="15"/>
      <c r="K1292" s="15"/>
      <c r="L1292" s="15">
        <f t="shared" si="210"/>
        <v>0</v>
      </c>
      <c r="M1292" s="15"/>
      <c r="N1292" s="15">
        <f t="shared" si="211"/>
        <v>0</v>
      </c>
      <c r="O1292" s="15" t="str">
        <f>IF(AND(A1292='BANG KE NL'!$M$11,TH!C1292="NL",LEFT(D1292,1)="N"),"x","")</f>
        <v/>
      </c>
    </row>
    <row r="1293" spans="1:15" hidden="1">
      <c r="A1293" s="24" t="str">
        <f t="shared" si="209"/>
        <v/>
      </c>
      <c r="B1293" s="176" t="str">
        <f>IF(AND(MONTH(E1293)='IN-NX'!$J$5,'IN-NX'!$D$7=(D1293&amp;"/"&amp;C1293)),"x","")</f>
        <v/>
      </c>
      <c r="C1293" s="173"/>
      <c r="D1293" s="173"/>
      <c r="E1293" s="70"/>
      <c r="F1293" s="62"/>
      <c r="G1293" s="19"/>
      <c r="H1293" s="178"/>
      <c r="I1293" s="57"/>
      <c r="J1293" s="15"/>
      <c r="K1293" s="15"/>
      <c r="L1293" s="15">
        <f t="shared" si="210"/>
        <v>0</v>
      </c>
      <c r="M1293" s="15"/>
      <c r="N1293" s="15">
        <f t="shared" si="211"/>
        <v>0</v>
      </c>
      <c r="O1293" s="15" t="str">
        <f>IF(AND(A1293='BANG KE NL'!$M$11,TH!C1293="NL",LEFT(D1293,1)="N"),"x","")</f>
        <v/>
      </c>
    </row>
    <row r="1294" spans="1:15" hidden="1">
      <c r="A1294" s="24" t="str">
        <f t="shared" si="209"/>
        <v/>
      </c>
      <c r="B1294" s="176" t="str">
        <f>IF(AND(MONTH(E1294)='IN-NX'!$J$5,'IN-NX'!$D$7=(D1294&amp;"/"&amp;C1294)),"x","")</f>
        <v/>
      </c>
      <c r="C1294" s="173"/>
      <c r="D1294" s="173"/>
      <c r="E1294" s="70"/>
      <c r="F1294" s="62"/>
      <c r="G1294" s="19"/>
      <c r="H1294" s="178"/>
      <c r="I1294" s="57"/>
      <c r="J1294" s="15"/>
      <c r="K1294" s="15"/>
      <c r="L1294" s="15">
        <f t="shared" si="210"/>
        <v>0</v>
      </c>
      <c r="M1294" s="15"/>
      <c r="N1294" s="15">
        <f t="shared" si="211"/>
        <v>0</v>
      </c>
      <c r="O1294" s="15" t="str">
        <f>IF(AND(A1294='BANG KE NL'!$M$11,TH!C1294="NL",LEFT(D1294,1)="N"),"x","")</f>
        <v/>
      </c>
    </row>
    <row r="1295" spans="1:15" hidden="1">
      <c r="A1295" s="24" t="str">
        <f t="shared" si="209"/>
        <v/>
      </c>
      <c r="B1295" s="176" t="str">
        <f>IF(AND(MONTH(E1295)='IN-NX'!$J$5,'IN-NX'!$D$7=(D1295&amp;"/"&amp;C1295)),"x","")</f>
        <v/>
      </c>
      <c r="C1295" s="173"/>
      <c r="D1295" s="173"/>
      <c r="E1295" s="70"/>
      <c r="F1295" s="62"/>
      <c r="G1295" s="19"/>
      <c r="H1295" s="178"/>
      <c r="I1295" s="57"/>
      <c r="J1295" s="15"/>
      <c r="K1295" s="15"/>
      <c r="L1295" s="15">
        <f t="shared" si="210"/>
        <v>0</v>
      </c>
      <c r="M1295" s="15"/>
      <c r="N1295" s="15">
        <f t="shared" si="211"/>
        <v>0</v>
      </c>
      <c r="O1295" s="15" t="str">
        <f>IF(AND(A1295='BANG KE NL'!$M$11,TH!C1295="NL",LEFT(D1295,1)="N"),"x","")</f>
        <v/>
      </c>
    </row>
    <row r="1296" spans="1:15" hidden="1">
      <c r="A1296" s="24" t="str">
        <f t="shared" si="209"/>
        <v/>
      </c>
      <c r="B1296" s="176" t="str">
        <f>IF(AND(MONTH(E1296)='IN-NX'!$J$5,'IN-NX'!$D$7=(D1296&amp;"/"&amp;C1296)),"x","")</f>
        <v/>
      </c>
      <c r="C1296" s="173"/>
      <c r="D1296" s="173"/>
      <c r="E1296" s="70"/>
      <c r="F1296" s="62"/>
      <c r="G1296" s="19"/>
      <c r="H1296" s="178"/>
      <c r="I1296" s="57"/>
      <c r="J1296" s="15"/>
      <c r="K1296" s="15"/>
      <c r="L1296" s="15">
        <f t="shared" si="210"/>
        <v>0</v>
      </c>
      <c r="M1296" s="15"/>
      <c r="N1296" s="15">
        <f t="shared" si="211"/>
        <v>0</v>
      </c>
      <c r="O1296" s="15" t="str">
        <f>IF(AND(A1296='BANG KE NL'!$M$11,TH!C1296="NL",LEFT(D1296,1)="N"),"x","")</f>
        <v/>
      </c>
    </row>
    <row r="1297" spans="1:15" hidden="1">
      <c r="A1297" s="24" t="str">
        <f t="shared" si="209"/>
        <v/>
      </c>
      <c r="B1297" s="176" t="str">
        <f>IF(AND(MONTH(E1297)='IN-NX'!$J$5,'IN-NX'!$D$7=(D1297&amp;"/"&amp;C1297)),"x","")</f>
        <v/>
      </c>
      <c r="C1297" s="173"/>
      <c r="D1297" s="173"/>
      <c r="E1297" s="70"/>
      <c r="F1297" s="62"/>
      <c r="G1297" s="19"/>
      <c r="H1297" s="178"/>
      <c r="I1297" s="57"/>
      <c r="J1297" s="15"/>
      <c r="K1297" s="15"/>
      <c r="L1297" s="15">
        <f t="shared" si="210"/>
        <v>0</v>
      </c>
      <c r="M1297" s="15"/>
      <c r="N1297" s="15">
        <f t="shared" si="211"/>
        <v>0</v>
      </c>
      <c r="O1297" s="15" t="str">
        <f>IF(AND(A1297='BANG KE NL'!$M$11,TH!C1297="NL",LEFT(D1297,1)="N"),"x","")</f>
        <v/>
      </c>
    </row>
    <row r="1298" spans="1:15" hidden="1">
      <c r="A1298" s="24" t="str">
        <f t="shared" si="209"/>
        <v/>
      </c>
      <c r="B1298" s="176" t="str">
        <f>IF(AND(MONTH(E1298)='IN-NX'!$J$5,'IN-NX'!$D$7=(D1298&amp;"/"&amp;C1298)),"x","")</f>
        <v/>
      </c>
      <c r="C1298" s="173"/>
      <c r="D1298" s="173"/>
      <c r="E1298" s="70"/>
      <c r="F1298" s="62"/>
      <c r="G1298" s="19"/>
      <c r="H1298" s="178"/>
      <c r="I1298" s="57"/>
      <c r="J1298" s="15"/>
      <c r="K1298" s="15"/>
      <c r="L1298" s="15">
        <f t="shared" si="210"/>
        <v>0</v>
      </c>
      <c r="M1298" s="15"/>
      <c r="N1298" s="15">
        <f t="shared" si="211"/>
        <v>0</v>
      </c>
      <c r="O1298" s="15" t="str">
        <f>IF(AND(A1298='BANG KE NL'!$M$11,TH!C1298="NL",LEFT(D1298,1)="N"),"x","")</f>
        <v/>
      </c>
    </row>
    <row r="1299" spans="1:15" hidden="1">
      <c r="A1299" s="24" t="str">
        <f t="shared" si="209"/>
        <v/>
      </c>
      <c r="B1299" s="176" t="str">
        <f>IF(AND(MONTH(E1299)='IN-NX'!$J$5,'IN-NX'!$D$7=(D1299&amp;"/"&amp;C1299)),"x","")</f>
        <v/>
      </c>
      <c r="C1299" s="173"/>
      <c r="D1299" s="173"/>
      <c r="E1299" s="70"/>
      <c r="F1299" s="62"/>
      <c r="G1299" s="19"/>
      <c r="H1299" s="178"/>
      <c r="I1299" s="57"/>
      <c r="J1299" s="15"/>
      <c r="K1299" s="15"/>
      <c r="L1299" s="15">
        <f t="shared" si="210"/>
        <v>0</v>
      </c>
      <c r="M1299" s="15"/>
      <c r="N1299" s="15">
        <f t="shared" si="211"/>
        <v>0</v>
      </c>
      <c r="O1299" s="15" t="str">
        <f>IF(AND(A1299='BANG KE NL'!$M$11,TH!C1299="NL",LEFT(D1299,1)="N"),"x","")</f>
        <v/>
      </c>
    </row>
    <row r="1300" spans="1:15" hidden="1">
      <c r="A1300" s="24" t="str">
        <f t="shared" si="209"/>
        <v/>
      </c>
      <c r="B1300" s="176" t="str">
        <f>IF(AND(MONTH(E1300)='IN-NX'!$J$5,'IN-NX'!$D$7=(D1300&amp;"/"&amp;C1300)),"x","")</f>
        <v/>
      </c>
      <c r="C1300" s="173"/>
      <c r="D1300" s="173"/>
      <c r="E1300" s="70"/>
      <c r="F1300" s="62"/>
      <c r="G1300" s="19"/>
      <c r="H1300" s="178"/>
      <c r="I1300" s="57"/>
      <c r="J1300" s="15"/>
      <c r="K1300" s="15"/>
      <c r="L1300" s="15">
        <f t="shared" si="210"/>
        <v>0</v>
      </c>
      <c r="M1300" s="15"/>
      <c r="N1300" s="15">
        <f t="shared" si="211"/>
        <v>0</v>
      </c>
      <c r="O1300" s="15" t="str">
        <f>IF(AND(A1300='BANG KE NL'!$M$11,TH!C1300="NL",LEFT(D1300,1)="N"),"x","")</f>
        <v/>
      </c>
    </row>
    <row r="1301" spans="1:15" hidden="1">
      <c r="A1301" s="24" t="str">
        <f t="shared" si="209"/>
        <v/>
      </c>
      <c r="B1301" s="176" t="str">
        <f>IF(AND(MONTH(E1301)='IN-NX'!$J$5,'IN-NX'!$D$7=(D1301&amp;"/"&amp;C1301)),"x","")</f>
        <v/>
      </c>
      <c r="C1301" s="173"/>
      <c r="D1301" s="173"/>
      <c r="E1301" s="70"/>
      <c r="F1301" s="62"/>
      <c r="G1301" s="19"/>
      <c r="H1301" s="178"/>
      <c r="I1301" s="57"/>
      <c r="J1301" s="15"/>
      <c r="K1301" s="15"/>
      <c r="L1301" s="15">
        <f t="shared" si="210"/>
        <v>0</v>
      </c>
      <c r="M1301" s="15"/>
      <c r="N1301" s="15">
        <f t="shared" si="211"/>
        <v>0</v>
      </c>
      <c r="O1301" s="15" t="str">
        <f>IF(AND(A1301='BANG KE NL'!$M$11,TH!C1301="NL",LEFT(D1301,1)="N"),"x","")</f>
        <v/>
      </c>
    </row>
    <row r="1302" spans="1:15" hidden="1">
      <c r="A1302" s="24" t="str">
        <f t="shared" si="209"/>
        <v/>
      </c>
      <c r="B1302" s="176" t="str">
        <f>IF(AND(MONTH(E1302)='IN-NX'!$J$5,'IN-NX'!$D$7=(D1302&amp;"/"&amp;C1302)),"x","")</f>
        <v/>
      </c>
      <c r="C1302" s="173"/>
      <c r="D1302" s="173"/>
      <c r="E1302" s="70"/>
      <c r="F1302" s="62"/>
      <c r="G1302" s="19"/>
      <c r="H1302" s="178"/>
      <c r="I1302" s="57"/>
      <c r="J1302" s="15"/>
      <c r="K1302" s="15"/>
      <c r="L1302" s="15">
        <f t="shared" si="210"/>
        <v>0</v>
      </c>
      <c r="M1302" s="15"/>
      <c r="N1302" s="15">
        <f t="shared" si="211"/>
        <v>0</v>
      </c>
      <c r="O1302" s="15" t="str">
        <f>IF(AND(A1302='BANG KE NL'!$M$11,TH!C1302="NL",LEFT(D1302,1)="N"),"x","")</f>
        <v/>
      </c>
    </row>
    <row r="1303" spans="1:15" hidden="1">
      <c r="A1303" s="24" t="str">
        <f t="shared" si="209"/>
        <v/>
      </c>
      <c r="B1303" s="176" t="str">
        <f>IF(AND(MONTH(E1303)='IN-NX'!$J$5,'IN-NX'!$D$7=(D1303&amp;"/"&amp;C1303)),"x","")</f>
        <v/>
      </c>
      <c r="C1303" s="173"/>
      <c r="D1303" s="173"/>
      <c r="E1303" s="70"/>
      <c r="F1303" s="62"/>
      <c r="G1303" s="19"/>
      <c r="H1303" s="178"/>
      <c r="I1303" s="57"/>
      <c r="J1303" s="15"/>
      <c r="K1303" s="15"/>
      <c r="L1303" s="15">
        <f t="shared" si="210"/>
        <v>0</v>
      </c>
      <c r="M1303" s="15"/>
      <c r="N1303" s="15">
        <f t="shared" si="211"/>
        <v>0</v>
      </c>
      <c r="O1303" s="15" t="str">
        <f>IF(AND(A1303='BANG KE NL'!$M$11,TH!C1303="NL",LEFT(D1303,1)="N"),"x","")</f>
        <v/>
      </c>
    </row>
    <row r="1304" spans="1:15" hidden="1">
      <c r="A1304" s="24" t="str">
        <f t="shared" si="209"/>
        <v/>
      </c>
      <c r="B1304" s="176" t="str">
        <f>IF(AND(MONTH(E1304)='IN-NX'!$J$5,'IN-NX'!$D$7=(D1304&amp;"/"&amp;C1304)),"x","")</f>
        <v/>
      </c>
      <c r="C1304" s="173"/>
      <c r="D1304" s="173"/>
      <c r="E1304" s="70"/>
      <c r="F1304" s="62"/>
      <c r="G1304" s="19"/>
      <c r="H1304" s="178"/>
      <c r="I1304" s="57"/>
      <c r="J1304" s="15"/>
      <c r="K1304" s="15"/>
      <c r="L1304" s="15">
        <f t="shared" si="210"/>
        <v>0</v>
      </c>
      <c r="M1304" s="15"/>
      <c r="N1304" s="15">
        <f t="shared" si="211"/>
        <v>0</v>
      </c>
      <c r="O1304" s="15" t="str">
        <f>IF(AND(A1304='BANG KE NL'!$M$11,TH!C1304="NL",LEFT(D1304,1)="N"),"x","")</f>
        <v/>
      </c>
    </row>
    <row r="1305" spans="1:15" hidden="1">
      <c r="A1305" s="24" t="str">
        <f t="shared" si="209"/>
        <v/>
      </c>
      <c r="B1305" s="176" t="str">
        <f>IF(AND(MONTH(E1305)='IN-NX'!$J$5,'IN-NX'!$D$7=(D1305&amp;"/"&amp;C1305)),"x","")</f>
        <v/>
      </c>
      <c r="C1305" s="173"/>
      <c r="D1305" s="173"/>
      <c r="E1305" s="70"/>
      <c r="F1305" s="62"/>
      <c r="G1305" s="19"/>
      <c r="H1305" s="178"/>
      <c r="I1305" s="57"/>
      <c r="J1305" s="15"/>
      <c r="K1305" s="15"/>
      <c r="L1305" s="15">
        <f t="shared" si="210"/>
        <v>0</v>
      </c>
      <c r="M1305" s="15"/>
      <c r="N1305" s="15">
        <f t="shared" si="211"/>
        <v>0</v>
      </c>
      <c r="O1305" s="15" t="str">
        <f>IF(AND(A1305='BANG KE NL'!$M$11,TH!C1305="NL",LEFT(D1305,1)="N"),"x","")</f>
        <v/>
      </c>
    </row>
    <row r="1306" spans="1:15" hidden="1">
      <c r="A1306" s="24" t="str">
        <f t="shared" si="209"/>
        <v/>
      </c>
      <c r="B1306" s="176" t="str">
        <f>IF(AND(MONTH(E1306)='IN-NX'!$J$5,'IN-NX'!$D$7=(D1306&amp;"/"&amp;C1306)),"x","")</f>
        <v/>
      </c>
      <c r="C1306" s="173"/>
      <c r="D1306" s="173"/>
      <c r="E1306" s="70"/>
      <c r="F1306" s="62"/>
      <c r="G1306" s="19"/>
      <c r="H1306" s="178"/>
      <c r="I1306" s="57"/>
      <c r="J1306" s="15"/>
      <c r="K1306" s="15"/>
      <c r="L1306" s="15">
        <f t="shared" si="210"/>
        <v>0</v>
      </c>
      <c r="M1306" s="15"/>
      <c r="N1306" s="15">
        <f t="shared" si="211"/>
        <v>0</v>
      </c>
      <c r="O1306" s="15" t="str">
        <f>IF(AND(A1306='BANG KE NL'!$M$11,TH!C1306="NL",LEFT(D1306,1)="N"),"x","")</f>
        <v/>
      </c>
    </row>
    <row r="1307" spans="1:15" hidden="1">
      <c r="A1307" s="24" t="str">
        <f t="shared" si="209"/>
        <v/>
      </c>
      <c r="B1307" s="176" t="str">
        <f>IF(AND(MONTH(E1307)='IN-NX'!$J$5,'IN-NX'!$D$7=(D1307&amp;"/"&amp;C1307)),"x","")</f>
        <v/>
      </c>
      <c r="C1307" s="173"/>
      <c r="D1307" s="173"/>
      <c r="E1307" s="70"/>
      <c r="F1307" s="62"/>
      <c r="G1307" s="19"/>
      <c r="H1307" s="178"/>
      <c r="I1307" s="57"/>
      <c r="J1307" s="15"/>
      <c r="K1307" s="15"/>
      <c r="L1307" s="15">
        <f t="shared" si="210"/>
        <v>0</v>
      </c>
      <c r="M1307" s="15"/>
      <c r="N1307" s="15">
        <f t="shared" si="211"/>
        <v>0</v>
      </c>
      <c r="O1307" s="15" t="str">
        <f>IF(AND(A1307='BANG KE NL'!$M$11,TH!C1307="NL",LEFT(D1307,1)="N"),"x","")</f>
        <v/>
      </c>
    </row>
    <row r="1308" spans="1:15" hidden="1">
      <c r="A1308" s="24" t="str">
        <f t="shared" si="209"/>
        <v/>
      </c>
      <c r="B1308" s="176" t="str">
        <f>IF(AND(MONTH(E1308)='IN-NX'!$J$5,'IN-NX'!$D$7=(D1308&amp;"/"&amp;C1308)),"x","")</f>
        <v/>
      </c>
      <c r="C1308" s="173"/>
      <c r="D1308" s="173"/>
      <c r="E1308" s="70"/>
      <c r="F1308" s="62"/>
      <c r="G1308" s="19"/>
      <c r="H1308" s="178"/>
      <c r="I1308" s="57"/>
      <c r="J1308" s="15"/>
      <c r="K1308" s="15"/>
      <c r="L1308" s="15">
        <f t="shared" si="210"/>
        <v>0</v>
      </c>
      <c r="M1308" s="15"/>
      <c r="N1308" s="15">
        <f t="shared" si="211"/>
        <v>0</v>
      </c>
      <c r="O1308" s="15" t="str">
        <f>IF(AND(A1308='BANG KE NL'!$M$11,TH!C1308="NL",LEFT(D1308,1)="N"),"x","")</f>
        <v/>
      </c>
    </row>
    <row r="1309" spans="1:15" hidden="1">
      <c r="A1309" s="24" t="str">
        <f t="shared" si="209"/>
        <v/>
      </c>
      <c r="B1309" s="176" t="str">
        <f>IF(AND(MONTH(E1309)='IN-NX'!$J$5,'IN-NX'!$D$7=(D1309&amp;"/"&amp;C1309)),"x","")</f>
        <v/>
      </c>
      <c r="C1309" s="173"/>
      <c r="D1309" s="173"/>
      <c r="E1309" s="70"/>
      <c r="F1309" s="62"/>
      <c r="G1309" s="19"/>
      <c r="H1309" s="178"/>
      <c r="I1309" s="57"/>
      <c r="J1309" s="15"/>
      <c r="K1309" s="15"/>
      <c r="L1309" s="15">
        <f t="shared" si="210"/>
        <v>0</v>
      </c>
      <c r="M1309" s="15"/>
      <c r="N1309" s="15">
        <f t="shared" si="211"/>
        <v>0</v>
      </c>
      <c r="O1309" s="15" t="str">
        <f>IF(AND(A1309='BANG KE NL'!$M$11,TH!C1309="NL",LEFT(D1309,1)="N"),"x","")</f>
        <v/>
      </c>
    </row>
    <row r="1310" spans="1:15" hidden="1">
      <c r="A1310" s="24" t="str">
        <f t="shared" si="209"/>
        <v/>
      </c>
      <c r="B1310" s="176" t="str">
        <f>IF(AND(MONTH(E1310)='IN-NX'!$J$5,'IN-NX'!$D$7=(D1310&amp;"/"&amp;C1310)),"x","")</f>
        <v/>
      </c>
      <c r="C1310" s="173"/>
      <c r="D1310" s="173"/>
      <c r="E1310" s="70"/>
      <c r="F1310" s="62"/>
      <c r="G1310" s="19"/>
      <c r="H1310" s="178"/>
      <c r="I1310" s="57"/>
      <c r="J1310" s="15"/>
      <c r="K1310" s="15"/>
      <c r="L1310" s="15">
        <f t="shared" si="210"/>
        <v>0</v>
      </c>
      <c r="M1310" s="15"/>
      <c r="N1310" s="15">
        <f t="shared" si="211"/>
        <v>0</v>
      </c>
      <c r="O1310" s="15" t="str">
        <f>IF(AND(A1310='BANG KE NL'!$M$11,TH!C1310="NL",LEFT(D1310,1)="N"),"x","")</f>
        <v/>
      </c>
    </row>
    <row r="1311" spans="1:15" hidden="1">
      <c r="A1311" s="24" t="str">
        <f t="shared" si="209"/>
        <v/>
      </c>
      <c r="B1311" s="176" t="str">
        <f>IF(AND(MONTH(E1311)='IN-NX'!$J$5,'IN-NX'!$D$7=(D1311&amp;"/"&amp;C1311)),"x","")</f>
        <v/>
      </c>
      <c r="C1311" s="173"/>
      <c r="D1311" s="173"/>
      <c r="E1311" s="70"/>
      <c r="F1311" s="62"/>
      <c r="G1311" s="19"/>
      <c r="H1311" s="178"/>
      <c r="I1311" s="57"/>
      <c r="J1311" s="15"/>
      <c r="K1311" s="15"/>
      <c r="L1311" s="15">
        <f t="shared" si="210"/>
        <v>0</v>
      </c>
      <c r="M1311" s="15"/>
      <c r="N1311" s="15">
        <f t="shared" si="211"/>
        <v>0</v>
      </c>
      <c r="O1311" s="15" t="str">
        <f>IF(AND(A1311='BANG KE NL'!$M$11,TH!C1311="NL",LEFT(D1311,1)="N"),"x","")</f>
        <v/>
      </c>
    </row>
    <row r="1312" spans="1:15" hidden="1">
      <c r="A1312" s="24" t="str">
        <f t="shared" si="209"/>
        <v/>
      </c>
      <c r="B1312" s="176" t="str">
        <f>IF(AND(MONTH(E1312)='IN-NX'!$J$5,'IN-NX'!$D$7=(D1312&amp;"/"&amp;C1312)),"x","")</f>
        <v/>
      </c>
      <c r="C1312" s="173"/>
      <c r="D1312" s="173"/>
      <c r="E1312" s="70"/>
      <c r="F1312" s="62"/>
      <c r="G1312" s="19"/>
      <c r="H1312" s="178"/>
      <c r="I1312" s="57"/>
      <c r="J1312" s="15"/>
      <c r="K1312" s="15"/>
      <c r="L1312" s="15">
        <f t="shared" si="210"/>
        <v>0</v>
      </c>
      <c r="M1312" s="15"/>
      <c r="N1312" s="15">
        <f t="shared" si="211"/>
        <v>0</v>
      </c>
      <c r="O1312" s="15" t="str">
        <f>IF(AND(A1312='BANG KE NL'!$M$11,TH!C1312="NL",LEFT(D1312,1)="N"),"x","")</f>
        <v/>
      </c>
    </row>
    <row r="1313" spans="1:15" hidden="1">
      <c r="A1313" s="24" t="str">
        <f t="shared" si="209"/>
        <v/>
      </c>
      <c r="B1313" s="176" t="str">
        <f>IF(AND(MONTH(E1313)='IN-NX'!$J$5,'IN-NX'!$D$7=(D1313&amp;"/"&amp;C1313)),"x","")</f>
        <v/>
      </c>
      <c r="C1313" s="173"/>
      <c r="D1313" s="173"/>
      <c r="E1313" s="70"/>
      <c r="F1313" s="62"/>
      <c r="G1313" s="19"/>
      <c r="H1313" s="178"/>
      <c r="I1313" s="57"/>
      <c r="J1313" s="15"/>
      <c r="K1313" s="15"/>
      <c r="L1313" s="15">
        <f t="shared" si="210"/>
        <v>0</v>
      </c>
      <c r="M1313" s="15"/>
      <c r="N1313" s="15">
        <f t="shared" si="211"/>
        <v>0</v>
      </c>
      <c r="O1313" s="15" t="str">
        <f>IF(AND(A1313='BANG KE NL'!$M$11,TH!C1313="NL",LEFT(D1313,1)="N"),"x","")</f>
        <v/>
      </c>
    </row>
    <row r="1314" spans="1:15" hidden="1">
      <c r="A1314" s="24" t="str">
        <f t="shared" si="209"/>
        <v/>
      </c>
      <c r="B1314" s="176" t="str">
        <f>IF(AND(MONTH(E1314)='IN-NX'!$J$5,'IN-NX'!$D$7=(D1314&amp;"/"&amp;C1314)),"x","")</f>
        <v/>
      </c>
      <c r="C1314" s="173"/>
      <c r="D1314" s="173"/>
      <c r="E1314" s="70"/>
      <c r="F1314" s="62"/>
      <c r="G1314" s="19"/>
      <c r="H1314" s="178"/>
      <c r="I1314" s="57"/>
      <c r="J1314" s="15"/>
      <c r="K1314" s="15"/>
      <c r="L1314" s="15">
        <f t="shared" si="210"/>
        <v>0</v>
      </c>
      <c r="M1314" s="15"/>
      <c r="N1314" s="15">
        <f t="shared" si="211"/>
        <v>0</v>
      </c>
      <c r="O1314" s="15" t="str">
        <f>IF(AND(A1314='BANG KE NL'!$M$11,TH!C1314="NL",LEFT(D1314,1)="N"),"x","")</f>
        <v/>
      </c>
    </row>
    <row r="1315" spans="1:15" hidden="1">
      <c r="A1315" s="24" t="str">
        <f t="shared" si="209"/>
        <v/>
      </c>
      <c r="B1315" s="176" t="str">
        <f>IF(AND(MONTH(E1315)='IN-NX'!$J$5,'IN-NX'!$D$7=(D1315&amp;"/"&amp;C1315)),"x","")</f>
        <v/>
      </c>
      <c r="C1315" s="173"/>
      <c r="D1315" s="173"/>
      <c r="E1315" s="70"/>
      <c r="F1315" s="62"/>
      <c r="G1315" s="19"/>
      <c r="H1315" s="178"/>
      <c r="I1315" s="57"/>
      <c r="J1315" s="15"/>
      <c r="K1315" s="15"/>
      <c r="L1315" s="15">
        <f t="shared" si="210"/>
        <v>0</v>
      </c>
      <c r="M1315" s="15"/>
      <c r="N1315" s="15">
        <f t="shared" si="211"/>
        <v>0</v>
      </c>
      <c r="O1315" s="15" t="str">
        <f>IF(AND(A1315='BANG KE NL'!$M$11,TH!C1315="NL",LEFT(D1315,1)="N"),"x","")</f>
        <v/>
      </c>
    </row>
    <row r="1316" spans="1:15" hidden="1">
      <c r="A1316" s="24" t="str">
        <f t="shared" si="209"/>
        <v/>
      </c>
      <c r="B1316" s="176" t="str">
        <f>IF(AND(MONTH(E1316)='IN-NX'!$J$5,'IN-NX'!$D$7=(D1316&amp;"/"&amp;C1316)),"x","")</f>
        <v/>
      </c>
      <c r="C1316" s="173"/>
      <c r="D1316" s="173"/>
      <c r="E1316" s="70"/>
      <c r="F1316" s="62"/>
      <c r="G1316" s="19"/>
      <c r="H1316" s="178"/>
      <c r="I1316" s="57"/>
      <c r="J1316" s="15"/>
      <c r="K1316" s="15"/>
      <c r="L1316" s="15">
        <f t="shared" si="210"/>
        <v>0</v>
      </c>
      <c r="M1316" s="15"/>
      <c r="N1316" s="15">
        <f t="shared" si="211"/>
        <v>0</v>
      </c>
      <c r="O1316" s="15" t="str">
        <f>IF(AND(A1316='BANG KE NL'!$M$11,TH!C1316="NL",LEFT(D1316,1)="N"),"x","")</f>
        <v/>
      </c>
    </row>
    <row r="1317" spans="1:15" hidden="1">
      <c r="A1317" s="24" t="str">
        <f t="shared" ref="A1317:A1380" si="212">IF(E1317&lt;&gt;"",MONTH(E1317),"")</f>
        <v/>
      </c>
      <c r="B1317" s="176" t="str">
        <f>IF(AND(MONTH(E1317)='IN-NX'!$J$5,'IN-NX'!$D$7=(D1317&amp;"/"&amp;C1317)),"x","")</f>
        <v/>
      </c>
      <c r="C1317" s="173"/>
      <c r="D1317" s="173"/>
      <c r="E1317" s="70"/>
      <c r="F1317" s="62"/>
      <c r="G1317" s="19"/>
      <c r="H1317" s="178"/>
      <c r="I1317" s="57"/>
      <c r="J1317" s="15"/>
      <c r="K1317" s="15"/>
      <c r="L1317" s="15">
        <f t="shared" si="210"/>
        <v>0</v>
      </c>
      <c r="M1317" s="15"/>
      <c r="N1317" s="15">
        <f t="shared" si="211"/>
        <v>0</v>
      </c>
      <c r="O1317" s="15" t="str">
        <f>IF(AND(A1317='BANG KE NL'!$M$11,TH!C1317="NL",LEFT(D1317,1)="N"),"x","")</f>
        <v/>
      </c>
    </row>
    <row r="1318" spans="1:15" hidden="1">
      <c r="A1318" s="24" t="str">
        <f t="shared" si="212"/>
        <v/>
      </c>
      <c r="B1318" s="176" t="str">
        <f>IF(AND(MONTH(E1318)='IN-NX'!$J$5,'IN-NX'!$D$7=(D1318&amp;"/"&amp;C1318)),"x","")</f>
        <v/>
      </c>
      <c r="C1318" s="173"/>
      <c r="D1318" s="173"/>
      <c r="E1318" s="70"/>
      <c r="F1318" s="62"/>
      <c r="G1318" s="19"/>
      <c r="H1318" s="178"/>
      <c r="I1318" s="57"/>
      <c r="J1318" s="15"/>
      <c r="K1318" s="15"/>
      <c r="L1318" s="15">
        <f t="shared" si="210"/>
        <v>0</v>
      </c>
      <c r="M1318" s="15"/>
      <c r="N1318" s="15">
        <f t="shared" si="211"/>
        <v>0</v>
      </c>
      <c r="O1318" s="15" t="str">
        <f>IF(AND(A1318='BANG KE NL'!$M$11,TH!C1318="NL",LEFT(D1318,1)="N"),"x","")</f>
        <v/>
      </c>
    </row>
    <row r="1319" spans="1:15" hidden="1">
      <c r="A1319" s="24" t="str">
        <f t="shared" si="212"/>
        <v/>
      </c>
      <c r="B1319" s="176" t="str">
        <f>IF(AND(MONTH(E1319)='IN-NX'!$J$5,'IN-NX'!$D$7=(D1319&amp;"/"&amp;C1319)),"x","")</f>
        <v/>
      </c>
      <c r="C1319" s="173"/>
      <c r="D1319" s="173"/>
      <c r="E1319" s="70"/>
      <c r="F1319" s="62"/>
      <c r="G1319" s="19"/>
      <c r="H1319" s="178"/>
      <c r="I1319" s="57"/>
      <c r="J1319" s="15"/>
      <c r="K1319" s="15"/>
      <c r="L1319" s="15">
        <f t="shared" si="210"/>
        <v>0</v>
      </c>
      <c r="M1319" s="15"/>
      <c r="N1319" s="15">
        <f t="shared" si="211"/>
        <v>0</v>
      </c>
      <c r="O1319" s="15" t="str">
        <f>IF(AND(A1319='BANG KE NL'!$M$11,TH!C1319="NL",LEFT(D1319,1)="N"),"x","")</f>
        <v/>
      </c>
    </row>
    <row r="1320" spans="1:15" hidden="1">
      <c r="A1320" s="24" t="str">
        <f t="shared" si="212"/>
        <v/>
      </c>
      <c r="B1320" s="176" t="str">
        <f>IF(AND(MONTH(E1320)='IN-NX'!$J$5,'IN-NX'!$D$7=(D1320&amp;"/"&amp;C1320)),"x","")</f>
        <v/>
      </c>
      <c r="C1320" s="173"/>
      <c r="D1320" s="173"/>
      <c r="E1320" s="70"/>
      <c r="F1320" s="62"/>
      <c r="G1320" s="19"/>
      <c r="H1320" s="178"/>
      <c r="I1320" s="57"/>
      <c r="J1320" s="15"/>
      <c r="K1320" s="15"/>
      <c r="L1320" s="15">
        <f t="shared" si="210"/>
        <v>0</v>
      </c>
      <c r="M1320" s="15"/>
      <c r="N1320" s="15">
        <f t="shared" si="211"/>
        <v>0</v>
      </c>
      <c r="O1320" s="15" t="str">
        <f>IF(AND(A1320='BANG KE NL'!$M$11,TH!C1320="NL",LEFT(D1320,1)="N"),"x","")</f>
        <v/>
      </c>
    </row>
    <row r="1321" spans="1:15" hidden="1">
      <c r="A1321" s="24" t="str">
        <f t="shared" si="212"/>
        <v/>
      </c>
      <c r="B1321" s="176" t="str">
        <f>IF(AND(MONTH(E1321)='IN-NX'!$J$5,'IN-NX'!$D$7=(D1321&amp;"/"&amp;C1321)),"x","")</f>
        <v/>
      </c>
      <c r="C1321" s="173"/>
      <c r="D1321" s="173"/>
      <c r="E1321" s="70"/>
      <c r="F1321" s="62"/>
      <c r="G1321" s="19"/>
      <c r="H1321" s="178"/>
      <c r="I1321" s="57"/>
      <c r="J1321" s="15"/>
      <c r="K1321" s="15"/>
      <c r="L1321" s="15">
        <f t="shared" si="210"/>
        <v>0</v>
      </c>
      <c r="M1321" s="15"/>
      <c r="N1321" s="15">
        <f t="shared" si="211"/>
        <v>0</v>
      </c>
      <c r="O1321" s="15" t="str">
        <f>IF(AND(A1321='BANG KE NL'!$M$11,TH!C1321="NL",LEFT(D1321,1)="N"),"x","")</f>
        <v/>
      </c>
    </row>
    <row r="1322" spans="1:15" hidden="1">
      <c r="A1322" s="24" t="str">
        <f t="shared" si="212"/>
        <v/>
      </c>
      <c r="B1322" s="176" t="str">
        <f>IF(AND(MONTH(E1322)='IN-NX'!$J$5,'IN-NX'!$D$7=(D1322&amp;"/"&amp;C1322)),"x","")</f>
        <v/>
      </c>
      <c r="C1322" s="173"/>
      <c r="D1322" s="173"/>
      <c r="E1322" s="70"/>
      <c r="F1322" s="62"/>
      <c r="G1322" s="19"/>
      <c r="H1322" s="178"/>
      <c r="I1322" s="57"/>
      <c r="J1322" s="15"/>
      <c r="K1322" s="15"/>
      <c r="L1322" s="15">
        <f t="shared" si="210"/>
        <v>0</v>
      </c>
      <c r="M1322" s="15"/>
      <c r="N1322" s="15">
        <f t="shared" si="211"/>
        <v>0</v>
      </c>
      <c r="O1322" s="15" t="str">
        <f>IF(AND(A1322='BANG KE NL'!$M$11,TH!C1322="NL",LEFT(D1322,1)="N"),"x","")</f>
        <v/>
      </c>
    </row>
    <row r="1323" spans="1:15" hidden="1">
      <c r="A1323" s="24" t="str">
        <f t="shared" si="212"/>
        <v/>
      </c>
      <c r="B1323" s="176" t="str">
        <f>IF(AND(MONTH(E1323)='IN-NX'!$J$5,'IN-NX'!$D$7=(D1323&amp;"/"&amp;C1323)),"x","")</f>
        <v/>
      </c>
      <c r="C1323" s="173"/>
      <c r="D1323" s="173"/>
      <c r="E1323" s="70"/>
      <c r="F1323" s="62"/>
      <c r="G1323" s="19"/>
      <c r="H1323" s="178"/>
      <c r="I1323" s="57"/>
      <c r="J1323" s="15"/>
      <c r="K1323" s="15"/>
      <c r="L1323" s="15">
        <f t="shared" si="210"/>
        <v>0</v>
      </c>
      <c r="M1323" s="15"/>
      <c r="N1323" s="15">
        <f t="shared" si="211"/>
        <v>0</v>
      </c>
      <c r="O1323" s="15" t="str">
        <f>IF(AND(A1323='BANG KE NL'!$M$11,TH!C1323="NL",LEFT(D1323,1)="N"),"x","")</f>
        <v/>
      </c>
    </row>
    <row r="1324" spans="1:15" hidden="1">
      <c r="A1324" s="24" t="str">
        <f t="shared" si="212"/>
        <v/>
      </c>
      <c r="B1324" s="176" t="str">
        <f>IF(AND(MONTH(E1324)='IN-NX'!$J$5,'IN-NX'!$D$7=(D1324&amp;"/"&amp;C1324)),"x","")</f>
        <v/>
      </c>
      <c r="C1324" s="173"/>
      <c r="D1324" s="173"/>
      <c r="E1324" s="70"/>
      <c r="F1324" s="62"/>
      <c r="G1324" s="19"/>
      <c r="H1324" s="178"/>
      <c r="I1324" s="57"/>
      <c r="J1324" s="15"/>
      <c r="K1324" s="15"/>
      <c r="L1324" s="15">
        <f t="shared" si="210"/>
        <v>0</v>
      </c>
      <c r="M1324" s="15"/>
      <c r="N1324" s="15">
        <f t="shared" si="211"/>
        <v>0</v>
      </c>
      <c r="O1324" s="15" t="str">
        <f>IF(AND(A1324='BANG KE NL'!$M$11,TH!C1324="NL",LEFT(D1324,1)="N"),"x","")</f>
        <v/>
      </c>
    </row>
    <row r="1325" spans="1:15" hidden="1">
      <c r="A1325" s="24" t="str">
        <f t="shared" si="212"/>
        <v/>
      </c>
      <c r="B1325" s="176" t="str">
        <f>IF(AND(MONTH(E1325)='IN-NX'!$J$5,'IN-NX'!$D$7=(D1325&amp;"/"&amp;C1325)),"x","")</f>
        <v/>
      </c>
      <c r="C1325" s="173"/>
      <c r="D1325" s="173"/>
      <c r="E1325" s="70"/>
      <c r="F1325" s="62"/>
      <c r="G1325" s="19"/>
      <c r="H1325" s="178"/>
      <c r="I1325" s="57"/>
      <c r="J1325" s="15"/>
      <c r="K1325" s="15"/>
      <c r="L1325" s="15">
        <f t="shared" ref="L1325:L1388" si="213">ROUND(J1325*K1325,0)</f>
        <v>0</v>
      </c>
      <c r="M1325" s="15"/>
      <c r="N1325" s="15">
        <f t="shared" ref="N1325:N1388" si="214">ROUND(J1325*M1325,0)</f>
        <v>0</v>
      </c>
      <c r="O1325" s="15" t="str">
        <f>IF(AND(A1325='BANG KE NL'!$M$11,TH!C1325="NL",LEFT(D1325,1)="N"),"x","")</f>
        <v/>
      </c>
    </row>
    <row r="1326" spans="1:15" hidden="1">
      <c r="A1326" s="24" t="str">
        <f t="shared" si="212"/>
        <v/>
      </c>
      <c r="B1326" s="176" t="str">
        <f>IF(AND(MONTH(E1326)='IN-NX'!$J$5,'IN-NX'!$D$7=(D1326&amp;"/"&amp;C1326)),"x","")</f>
        <v/>
      </c>
      <c r="C1326" s="173"/>
      <c r="D1326" s="173"/>
      <c r="E1326" s="70"/>
      <c r="F1326" s="62"/>
      <c r="G1326" s="19"/>
      <c r="H1326" s="178"/>
      <c r="I1326" s="57"/>
      <c r="J1326" s="15"/>
      <c r="K1326" s="15"/>
      <c r="L1326" s="15">
        <f t="shared" si="213"/>
        <v>0</v>
      </c>
      <c r="M1326" s="15"/>
      <c r="N1326" s="15">
        <f t="shared" si="214"/>
        <v>0</v>
      </c>
      <c r="O1326" s="15" t="str">
        <f>IF(AND(A1326='BANG KE NL'!$M$11,TH!C1326="NL",LEFT(D1326,1)="N"),"x","")</f>
        <v/>
      </c>
    </row>
    <row r="1327" spans="1:15" hidden="1">
      <c r="A1327" s="24" t="str">
        <f t="shared" si="212"/>
        <v/>
      </c>
      <c r="B1327" s="176" t="str">
        <f>IF(AND(MONTH(E1327)='IN-NX'!$J$5,'IN-NX'!$D$7=(D1327&amp;"/"&amp;C1327)),"x","")</f>
        <v/>
      </c>
      <c r="C1327" s="173"/>
      <c r="D1327" s="173"/>
      <c r="E1327" s="70"/>
      <c r="F1327" s="62"/>
      <c r="G1327" s="19"/>
      <c r="H1327" s="178"/>
      <c r="I1327" s="57"/>
      <c r="J1327" s="15"/>
      <c r="K1327" s="15"/>
      <c r="L1327" s="15">
        <f t="shared" si="213"/>
        <v>0</v>
      </c>
      <c r="M1327" s="15"/>
      <c r="N1327" s="15">
        <f t="shared" si="214"/>
        <v>0</v>
      </c>
      <c r="O1327" s="15" t="str">
        <f>IF(AND(A1327='BANG KE NL'!$M$11,TH!C1327="NL",LEFT(D1327,1)="N"),"x","")</f>
        <v/>
      </c>
    </row>
    <row r="1328" spans="1:15" hidden="1">
      <c r="A1328" s="24" t="str">
        <f t="shared" si="212"/>
        <v/>
      </c>
      <c r="B1328" s="176" t="str">
        <f>IF(AND(MONTH(E1328)='IN-NX'!$J$5,'IN-NX'!$D$7=(D1328&amp;"/"&amp;C1328)),"x","")</f>
        <v/>
      </c>
      <c r="C1328" s="173"/>
      <c r="D1328" s="173"/>
      <c r="E1328" s="70"/>
      <c r="F1328" s="62"/>
      <c r="G1328" s="19"/>
      <c r="H1328" s="178"/>
      <c r="I1328" s="57"/>
      <c r="J1328" s="15"/>
      <c r="K1328" s="15"/>
      <c r="L1328" s="15">
        <f t="shared" si="213"/>
        <v>0</v>
      </c>
      <c r="M1328" s="15"/>
      <c r="N1328" s="15">
        <f t="shared" si="214"/>
        <v>0</v>
      </c>
      <c r="O1328" s="15" t="str">
        <f>IF(AND(A1328='BANG KE NL'!$M$11,TH!C1328="NL",LEFT(D1328,1)="N"),"x","")</f>
        <v/>
      </c>
    </row>
    <row r="1329" spans="1:15" hidden="1">
      <c r="A1329" s="24" t="str">
        <f t="shared" si="212"/>
        <v/>
      </c>
      <c r="B1329" s="176" t="str">
        <f>IF(AND(MONTH(E1329)='IN-NX'!$J$5,'IN-NX'!$D$7=(D1329&amp;"/"&amp;C1329)),"x","")</f>
        <v/>
      </c>
      <c r="C1329" s="173"/>
      <c r="D1329" s="173"/>
      <c r="E1329" s="70"/>
      <c r="F1329" s="62"/>
      <c r="G1329" s="19"/>
      <c r="H1329" s="178"/>
      <c r="I1329" s="57"/>
      <c r="J1329" s="15"/>
      <c r="K1329" s="15"/>
      <c r="L1329" s="15">
        <f t="shared" si="213"/>
        <v>0</v>
      </c>
      <c r="M1329" s="15"/>
      <c r="N1329" s="15">
        <f t="shared" si="214"/>
        <v>0</v>
      </c>
      <c r="O1329" s="15" t="str">
        <f>IF(AND(A1329='BANG KE NL'!$M$11,TH!C1329="NL",LEFT(D1329,1)="N"),"x","")</f>
        <v/>
      </c>
    </row>
    <row r="1330" spans="1:15" hidden="1">
      <c r="A1330" s="24" t="str">
        <f t="shared" si="212"/>
        <v/>
      </c>
      <c r="B1330" s="176" t="str">
        <f>IF(AND(MONTH(E1330)='IN-NX'!$J$5,'IN-NX'!$D$7=(D1330&amp;"/"&amp;C1330)),"x","")</f>
        <v/>
      </c>
      <c r="C1330" s="173"/>
      <c r="D1330" s="173"/>
      <c r="E1330" s="70"/>
      <c r="F1330" s="62"/>
      <c r="G1330" s="19"/>
      <c r="H1330" s="178"/>
      <c r="I1330" s="57"/>
      <c r="J1330" s="15"/>
      <c r="K1330" s="15"/>
      <c r="L1330" s="15">
        <f t="shared" si="213"/>
        <v>0</v>
      </c>
      <c r="M1330" s="15"/>
      <c r="N1330" s="15">
        <f t="shared" si="214"/>
        <v>0</v>
      </c>
      <c r="O1330" s="15" t="str">
        <f>IF(AND(A1330='BANG KE NL'!$M$11,TH!C1330="NL",LEFT(D1330,1)="N"),"x","")</f>
        <v/>
      </c>
    </row>
    <row r="1331" spans="1:15" hidden="1">
      <c r="A1331" s="24" t="str">
        <f t="shared" si="212"/>
        <v/>
      </c>
      <c r="B1331" s="176" t="str">
        <f>IF(AND(MONTH(E1331)='IN-NX'!$J$5,'IN-NX'!$D$7=(D1331&amp;"/"&amp;C1331)),"x","")</f>
        <v/>
      </c>
      <c r="C1331" s="173"/>
      <c r="D1331" s="173"/>
      <c r="E1331" s="70"/>
      <c r="F1331" s="62"/>
      <c r="G1331" s="19"/>
      <c r="H1331" s="178"/>
      <c r="I1331" s="57"/>
      <c r="J1331" s="15"/>
      <c r="K1331" s="15"/>
      <c r="L1331" s="15">
        <f t="shared" si="213"/>
        <v>0</v>
      </c>
      <c r="M1331" s="15"/>
      <c r="N1331" s="15">
        <f t="shared" si="214"/>
        <v>0</v>
      </c>
      <c r="O1331" s="15" t="str">
        <f>IF(AND(A1331='BANG KE NL'!$M$11,TH!C1331="NL",LEFT(D1331,1)="N"),"x","")</f>
        <v/>
      </c>
    </row>
    <row r="1332" spans="1:15" hidden="1">
      <c r="A1332" s="24" t="str">
        <f t="shared" si="212"/>
        <v/>
      </c>
      <c r="B1332" s="176" t="str">
        <f>IF(AND(MONTH(E1332)='IN-NX'!$J$5,'IN-NX'!$D$7=(D1332&amp;"/"&amp;C1332)),"x","")</f>
        <v/>
      </c>
      <c r="C1332" s="173"/>
      <c r="D1332" s="173"/>
      <c r="E1332" s="70"/>
      <c r="F1332" s="62"/>
      <c r="G1332" s="19"/>
      <c r="H1332" s="178"/>
      <c r="I1332" s="57"/>
      <c r="J1332" s="15"/>
      <c r="K1332" s="15"/>
      <c r="L1332" s="15">
        <f t="shared" si="213"/>
        <v>0</v>
      </c>
      <c r="M1332" s="15"/>
      <c r="N1332" s="15">
        <f t="shared" si="214"/>
        <v>0</v>
      </c>
      <c r="O1332" s="15" t="str">
        <f>IF(AND(A1332='BANG KE NL'!$M$11,TH!C1332="NL",LEFT(D1332,1)="N"),"x","")</f>
        <v/>
      </c>
    </row>
    <row r="1333" spans="1:15" hidden="1">
      <c r="A1333" s="24" t="str">
        <f t="shared" si="212"/>
        <v/>
      </c>
      <c r="B1333" s="176" t="str">
        <f>IF(AND(MONTH(E1333)='IN-NX'!$J$5,'IN-NX'!$D$7=(D1333&amp;"/"&amp;C1333)),"x","")</f>
        <v/>
      </c>
      <c r="C1333" s="173"/>
      <c r="D1333" s="173"/>
      <c r="E1333" s="70"/>
      <c r="F1333" s="62"/>
      <c r="G1333" s="19"/>
      <c r="H1333" s="178"/>
      <c r="I1333" s="57"/>
      <c r="J1333" s="15"/>
      <c r="K1333" s="15"/>
      <c r="L1333" s="15">
        <f t="shared" si="213"/>
        <v>0</v>
      </c>
      <c r="M1333" s="15"/>
      <c r="N1333" s="15">
        <f t="shared" si="214"/>
        <v>0</v>
      </c>
      <c r="O1333" s="15" t="str">
        <f>IF(AND(A1333='BANG KE NL'!$M$11,TH!C1333="NL",LEFT(D1333,1)="N"),"x","")</f>
        <v/>
      </c>
    </row>
    <row r="1334" spans="1:15" hidden="1">
      <c r="A1334" s="24" t="str">
        <f t="shared" si="212"/>
        <v/>
      </c>
      <c r="B1334" s="176" t="str">
        <f>IF(AND(MONTH(E1334)='IN-NX'!$J$5,'IN-NX'!$D$7=(D1334&amp;"/"&amp;C1334)),"x","")</f>
        <v/>
      </c>
      <c r="C1334" s="173"/>
      <c r="D1334" s="173"/>
      <c r="E1334" s="70"/>
      <c r="F1334" s="62"/>
      <c r="G1334" s="19"/>
      <c r="H1334" s="178"/>
      <c r="I1334" s="57"/>
      <c r="J1334" s="15"/>
      <c r="K1334" s="15"/>
      <c r="L1334" s="15">
        <f t="shared" si="213"/>
        <v>0</v>
      </c>
      <c r="M1334" s="15"/>
      <c r="N1334" s="15">
        <f t="shared" si="214"/>
        <v>0</v>
      </c>
      <c r="O1334" s="15" t="str">
        <f>IF(AND(A1334='BANG KE NL'!$M$11,TH!C1334="NL",LEFT(D1334,1)="N"),"x","")</f>
        <v/>
      </c>
    </row>
    <row r="1335" spans="1:15" hidden="1">
      <c r="A1335" s="24" t="str">
        <f t="shared" si="212"/>
        <v/>
      </c>
      <c r="B1335" s="176" t="str">
        <f>IF(AND(MONTH(E1335)='IN-NX'!$J$5,'IN-NX'!$D$7=(D1335&amp;"/"&amp;C1335)),"x","")</f>
        <v/>
      </c>
      <c r="C1335" s="173"/>
      <c r="D1335" s="173"/>
      <c r="E1335" s="70"/>
      <c r="F1335" s="62"/>
      <c r="G1335" s="19"/>
      <c r="H1335" s="178"/>
      <c r="I1335" s="57"/>
      <c r="J1335" s="15"/>
      <c r="K1335" s="15"/>
      <c r="L1335" s="15">
        <f t="shared" si="213"/>
        <v>0</v>
      </c>
      <c r="M1335" s="15"/>
      <c r="N1335" s="15">
        <f t="shared" si="214"/>
        <v>0</v>
      </c>
      <c r="O1335" s="15" t="str">
        <f>IF(AND(A1335='BANG KE NL'!$M$11,TH!C1335="NL",LEFT(D1335,1)="N"),"x","")</f>
        <v/>
      </c>
    </row>
    <row r="1336" spans="1:15" hidden="1">
      <c r="A1336" s="24" t="str">
        <f t="shared" si="212"/>
        <v/>
      </c>
      <c r="B1336" s="176" t="str">
        <f>IF(AND(MONTH(E1336)='IN-NX'!$J$5,'IN-NX'!$D$7=(D1336&amp;"/"&amp;C1336)),"x","")</f>
        <v/>
      </c>
      <c r="C1336" s="173"/>
      <c r="D1336" s="173"/>
      <c r="E1336" s="70"/>
      <c r="F1336" s="62"/>
      <c r="G1336" s="19"/>
      <c r="H1336" s="178"/>
      <c r="I1336" s="57"/>
      <c r="J1336" s="15"/>
      <c r="K1336" s="15"/>
      <c r="L1336" s="15">
        <f t="shared" si="213"/>
        <v>0</v>
      </c>
      <c r="M1336" s="15"/>
      <c r="N1336" s="15">
        <f t="shared" si="214"/>
        <v>0</v>
      </c>
      <c r="O1336" s="15" t="str">
        <f>IF(AND(A1336='BANG KE NL'!$M$11,TH!C1336="NL",LEFT(D1336,1)="N"),"x","")</f>
        <v/>
      </c>
    </row>
    <row r="1337" spans="1:15" hidden="1">
      <c r="A1337" s="24" t="str">
        <f t="shared" si="212"/>
        <v/>
      </c>
      <c r="B1337" s="176" t="str">
        <f>IF(AND(MONTH(E1337)='IN-NX'!$J$5,'IN-NX'!$D$7=(D1337&amp;"/"&amp;C1337)),"x","")</f>
        <v/>
      </c>
      <c r="C1337" s="173"/>
      <c r="D1337" s="173"/>
      <c r="E1337" s="70"/>
      <c r="F1337" s="62"/>
      <c r="G1337" s="19"/>
      <c r="H1337" s="178"/>
      <c r="I1337" s="57"/>
      <c r="J1337" s="15"/>
      <c r="K1337" s="15"/>
      <c r="L1337" s="15">
        <f t="shared" si="213"/>
        <v>0</v>
      </c>
      <c r="M1337" s="15"/>
      <c r="N1337" s="15">
        <f t="shared" si="214"/>
        <v>0</v>
      </c>
      <c r="O1337" s="15" t="str">
        <f>IF(AND(A1337='BANG KE NL'!$M$11,TH!C1337="NL",LEFT(D1337,1)="N"),"x","")</f>
        <v/>
      </c>
    </row>
    <row r="1338" spans="1:15" hidden="1">
      <c r="A1338" s="24" t="str">
        <f t="shared" si="212"/>
        <v/>
      </c>
      <c r="B1338" s="176" t="str">
        <f>IF(AND(MONTH(E1338)='IN-NX'!$J$5,'IN-NX'!$D$7=(D1338&amp;"/"&amp;C1338)),"x","")</f>
        <v/>
      </c>
      <c r="C1338" s="173"/>
      <c r="D1338" s="173"/>
      <c r="E1338" s="70"/>
      <c r="F1338" s="62"/>
      <c r="G1338" s="19"/>
      <c r="H1338" s="178"/>
      <c r="I1338" s="57"/>
      <c r="J1338" s="15"/>
      <c r="K1338" s="15"/>
      <c r="L1338" s="15">
        <f t="shared" si="213"/>
        <v>0</v>
      </c>
      <c r="M1338" s="15"/>
      <c r="N1338" s="15">
        <f t="shared" si="214"/>
        <v>0</v>
      </c>
      <c r="O1338" s="15" t="str">
        <f>IF(AND(A1338='BANG KE NL'!$M$11,TH!C1338="NL",LEFT(D1338,1)="N"),"x","")</f>
        <v/>
      </c>
    </row>
    <row r="1339" spans="1:15" hidden="1">
      <c r="A1339" s="24" t="str">
        <f t="shared" si="212"/>
        <v/>
      </c>
      <c r="B1339" s="176" t="str">
        <f>IF(AND(MONTH(E1339)='IN-NX'!$J$5,'IN-NX'!$D$7=(D1339&amp;"/"&amp;C1339)),"x","")</f>
        <v/>
      </c>
      <c r="C1339" s="173"/>
      <c r="D1339" s="173"/>
      <c r="E1339" s="70"/>
      <c r="F1339" s="62"/>
      <c r="G1339" s="19"/>
      <c r="H1339" s="178"/>
      <c r="I1339" s="57"/>
      <c r="J1339" s="15"/>
      <c r="K1339" s="15"/>
      <c r="L1339" s="15">
        <f t="shared" si="213"/>
        <v>0</v>
      </c>
      <c r="M1339" s="15"/>
      <c r="N1339" s="15">
        <f t="shared" si="214"/>
        <v>0</v>
      </c>
      <c r="O1339" s="15" t="str">
        <f>IF(AND(A1339='BANG KE NL'!$M$11,TH!C1339="NL",LEFT(D1339,1)="N"),"x","")</f>
        <v/>
      </c>
    </row>
    <row r="1340" spans="1:15" hidden="1">
      <c r="A1340" s="24" t="str">
        <f t="shared" si="212"/>
        <v/>
      </c>
      <c r="B1340" s="176" t="str">
        <f>IF(AND(MONTH(E1340)='IN-NX'!$J$5,'IN-NX'!$D$7=(D1340&amp;"/"&amp;C1340)),"x","")</f>
        <v/>
      </c>
      <c r="C1340" s="173"/>
      <c r="D1340" s="173"/>
      <c r="E1340" s="70"/>
      <c r="F1340" s="62"/>
      <c r="G1340" s="19"/>
      <c r="H1340" s="178"/>
      <c r="I1340" s="57"/>
      <c r="J1340" s="15"/>
      <c r="K1340" s="15"/>
      <c r="L1340" s="15">
        <f t="shared" si="213"/>
        <v>0</v>
      </c>
      <c r="M1340" s="15"/>
      <c r="N1340" s="15">
        <f t="shared" si="214"/>
        <v>0</v>
      </c>
      <c r="O1340" s="15" t="str">
        <f>IF(AND(A1340='BANG KE NL'!$M$11,TH!C1340="NL",LEFT(D1340,1)="N"),"x","")</f>
        <v/>
      </c>
    </row>
    <row r="1341" spans="1:15" hidden="1">
      <c r="A1341" s="24" t="str">
        <f t="shared" si="212"/>
        <v/>
      </c>
      <c r="B1341" s="176" t="str">
        <f>IF(AND(MONTH(E1341)='IN-NX'!$J$5,'IN-NX'!$D$7=(D1341&amp;"/"&amp;C1341)),"x","")</f>
        <v/>
      </c>
      <c r="C1341" s="173"/>
      <c r="D1341" s="173"/>
      <c r="E1341" s="70"/>
      <c r="F1341" s="62"/>
      <c r="G1341" s="19"/>
      <c r="H1341" s="178"/>
      <c r="I1341" s="57"/>
      <c r="J1341" s="15"/>
      <c r="K1341" s="15"/>
      <c r="L1341" s="15">
        <f t="shared" si="213"/>
        <v>0</v>
      </c>
      <c r="M1341" s="15"/>
      <c r="N1341" s="15">
        <f t="shared" si="214"/>
        <v>0</v>
      </c>
      <c r="O1341" s="15" t="str">
        <f>IF(AND(A1341='BANG KE NL'!$M$11,TH!C1341="NL",LEFT(D1341,1)="N"),"x","")</f>
        <v/>
      </c>
    </row>
    <row r="1342" spans="1:15" hidden="1">
      <c r="A1342" s="24" t="str">
        <f t="shared" si="212"/>
        <v/>
      </c>
      <c r="B1342" s="176" t="str">
        <f>IF(AND(MONTH(E1342)='IN-NX'!$J$5,'IN-NX'!$D$7=(D1342&amp;"/"&amp;C1342)),"x","")</f>
        <v/>
      </c>
      <c r="C1342" s="173"/>
      <c r="D1342" s="173"/>
      <c r="E1342" s="70"/>
      <c r="F1342" s="62"/>
      <c r="G1342" s="19"/>
      <c r="H1342" s="178"/>
      <c r="I1342" s="57"/>
      <c r="J1342" s="15"/>
      <c r="K1342" s="15"/>
      <c r="L1342" s="15">
        <f t="shared" si="213"/>
        <v>0</v>
      </c>
      <c r="M1342" s="15"/>
      <c r="N1342" s="15">
        <f t="shared" si="214"/>
        <v>0</v>
      </c>
      <c r="O1342" s="15" t="str">
        <f>IF(AND(A1342='BANG KE NL'!$M$11,TH!C1342="NL",LEFT(D1342,1)="N"),"x","")</f>
        <v/>
      </c>
    </row>
    <row r="1343" spans="1:15" hidden="1">
      <c r="A1343" s="24" t="str">
        <f t="shared" si="212"/>
        <v/>
      </c>
      <c r="B1343" s="176" t="str">
        <f>IF(AND(MONTH(E1343)='IN-NX'!$J$5,'IN-NX'!$D$7=(D1343&amp;"/"&amp;C1343)),"x","")</f>
        <v/>
      </c>
      <c r="C1343" s="173"/>
      <c r="D1343" s="173"/>
      <c r="E1343" s="70"/>
      <c r="F1343" s="62"/>
      <c r="G1343" s="19"/>
      <c r="H1343" s="178"/>
      <c r="I1343" s="57"/>
      <c r="J1343" s="15"/>
      <c r="K1343" s="15"/>
      <c r="L1343" s="15">
        <f t="shared" si="213"/>
        <v>0</v>
      </c>
      <c r="M1343" s="15"/>
      <c r="N1343" s="15">
        <f t="shared" si="214"/>
        <v>0</v>
      </c>
      <c r="O1343" s="15" t="str">
        <f>IF(AND(A1343='BANG KE NL'!$M$11,TH!C1343="NL",LEFT(D1343,1)="N"),"x","")</f>
        <v/>
      </c>
    </row>
    <row r="1344" spans="1:15" hidden="1">
      <c r="A1344" s="24" t="str">
        <f t="shared" si="212"/>
        <v/>
      </c>
      <c r="B1344" s="176" t="str">
        <f>IF(AND(MONTH(E1344)='IN-NX'!$J$5,'IN-NX'!$D$7=(D1344&amp;"/"&amp;C1344)),"x","")</f>
        <v/>
      </c>
      <c r="C1344" s="173"/>
      <c r="D1344" s="173"/>
      <c r="E1344" s="70"/>
      <c r="F1344" s="62"/>
      <c r="G1344" s="19"/>
      <c r="H1344" s="178"/>
      <c r="I1344" s="57"/>
      <c r="J1344" s="15"/>
      <c r="K1344" s="15"/>
      <c r="L1344" s="15">
        <f t="shared" si="213"/>
        <v>0</v>
      </c>
      <c r="M1344" s="15"/>
      <c r="N1344" s="15">
        <f t="shared" si="214"/>
        <v>0</v>
      </c>
      <c r="O1344" s="15" t="str">
        <f>IF(AND(A1344='BANG KE NL'!$M$11,TH!C1344="NL",LEFT(D1344,1)="N"),"x","")</f>
        <v/>
      </c>
    </row>
    <row r="1345" spans="1:15" hidden="1">
      <c r="A1345" s="24" t="str">
        <f t="shared" si="212"/>
        <v/>
      </c>
      <c r="B1345" s="176" t="str">
        <f>IF(AND(MONTH(E1345)='IN-NX'!$J$5,'IN-NX'!$D$7=(D1345&amp;"/"&amp;C1345)),"x","")</f>
        <v/>
      </c>
      <c r="C1345" s="173"/>
      <c r="D1345" s="173"/>
      <c r="E1345" s="70"/>
      <c r="F1345" s="62"/>
      <c r="G1345" s="19"/>
      <c r="H1345" s="178"/>
      <c r="I1345" s="57"/>
      <c r="J1345" s="15"/>
      <c r="K1345" s="15"/>
      <c r="L1345" s="15">
        <f t="shared" si="213"/>
        <v>0</v>
      </c>
      <c r="M1345" s="15"/>
      <c r="N1345" s="15">
        <f t="shared" si="214"/>
        <v>0</v>
      </c>
      <c r="O1345" s="15" t="str">
        <f>IF(AND(A1345='BANG KE NL'!$M$11,TH!C1345="NL",LEFT(D1345,1)="N"),"x","")</f>
        <v/>
      </c>
    </row>
    <row r="1346" spans="1:15" hidden="1">
      <c r="A1346" s="24" t="str">
        <f t="shared" si="212"/>
        <v/>
      </c>
      <c r="B1346" s="176" t="str">
        <f>IF(AND(MONTH(E1346)='IN-NX'!$J$5,'IN-NX'!$D$7=(D1346&amp;"/"&amp;C1346)),"x","")</f>
        <v/>
      </c>
      <c r="C1346" s="173"/>
      <c r="D1346" s="173"/>
      <c r="E1346" s="70"/>
      <c r="F1346" s="62"/>
      <c r="G1346" s="19"/>
      <c r="H1346" s="178"/>
      <c r="I1346" s="57"/>
      <c r="J1346" s="15"/>
      <c r="K1346" s="15"/>
      <c r="L1346" s="15">
        <f t="shared" si="213"/>
        <v>0</v>
      </c>
      <c r="M1346" s="15"/>
      <c r="N1346" s="15">
        <f t="shared" si="214"/>
        <v>0</v>
      </c>
      <c r="O1346" s="15" t="str">
        <f>IF(AND(A1346='BANG KE NL'!$M$11,TH!C1346="NL",LEFT(D1346,1)="N"),"x","")</f>
        <v/>
      </c>
    </row>
    <row r="1347" spans="1:15" hidden="1">
      <c r="A1347" s="24" t="str">
        <f t="shared" si="212"/>
        <v/>
      </c>
      <c r="B1347" s="176" t="str">
        <f>IF(AND(MONTH(E1347)='IN-NX'!$J$5,'IN-NX'!$D$7=(D1347&amp;"/"&amp;C1347)),"x","")</f>
        <v/>
      </c>
      <c r="C1347" s="173"/>
      <c r="D1347" s="173"/>
      <c r="E1347" s="70"/>
      <c r="F1347" s="62"/>
      <c r="G1347" s="19"/>
      <c r="H1347" s="178"/>
      <c r="I1347" s="57"/>
      <c r="J1347" s="15"/>
      <c r="K1347" s="15"/>
      <c r="L1347" s="15">
        <f t="shared" si="213"/>
        <v>0</v>
      </c>
      <c r="M1347" s="15"/>
      <c r="N1347" s="15">
        <f t="shared" si="214"/>
        <v>0</v>
      </c>
      <c r="O1347" s="15" t="str">
        <f>IF(AND(A1347='BANG KE NL'!$M$11,TH!C1347="NL",LEFT(D1347,1)="N"),"x","")</f>
        <v/>
      </c>
    </row>
    <row r="1348" spans="1:15" hidden="1">
      <c r="A1348" s="24" t="str">
        <f t="shared" si="212"/>
        <v/>
      </c>
      <c r="B1348" s="176" t="str">
        <f>IF(AND(MONTH(E1348)='IN-NX'!$J$5,'IN-NX'!$D$7=(D1348&amp;"/"&amp;C1348)),"x","")</f>
        <v/>
      </c>
      <c r="C1348" s="173"/>
      <c r="D1348" s="173"/>
      <c r="E1348" s="70"/>
      <c r="F1348" s="62"/>
      <c r="G1348" s="19"/>
      <c r="H1348" s="178"/>
      <c r="I1348" s="57"/>
      <c r="J1348" s="15"/>
      <c r="K1348" s="15"/>
      <c r="L1348" s="15">
        <f t="shared" si="213"/>
        <v>0</v>
      </c>
      <c r="M1348" s="15"/>
      <c r="N1348" s="15">
        <f t="shared" si="214"/>
        <v>0</v>
      </c>
      <c r="O1348" s="15" t="str">
        <f>IF(AND(A1348='BANG KE NL'!$M$11,TH!C1348="NL",LEFT(D1348,1)="N"),"x","")</f>
        <v/>
      </c>
    </row>
    <row r="1349" spans="1:15" hidden="1">
      <c r="A1349" s="24" t="str">
        <f t="shared" si="212"/>
        <v/>
      </c>
      <c r="B1349" s="176" t="str">
        <f>IF(AND(MONTH(E1349)='IN-NX'!$J$5,'IN-NX'!$D$7=(D1349&amp;"/"&amp;C1349)),"x","")</f>
        <v/>
      </c>
      <c r="C1349" s="173"/>
      <c r="D1349" s="173"/>
      <c r="E1349" s="70"/>
      <c r="F1349" s="62"/>
      <c r="G1349" s="19"/>
      <c r="H1349" s="178"/>
      <c r="I1349" s="57"/>
      <c r="J1349" s="15"/>
      <c r="K1349" s="15"/>
      <c r="L1349" s="15">
        <f t="shared" si="213"/>
        <v>0</v>
      </c>
      <c r="M1349" s="15"/>
      <c r="N1349" s="15">
        <f t="shared" si="214"/>
        <v>0</v>
      </c>
      <c r="O1349" s="15" t="str">
        <f>IF(AND(A1349='BANG KE NL'!$M$11,TH!C1349="NL",LEFT(D1349,1)="N"),"x","")</f>
        <v/>
      </c>
    </row>
    <row r="1350" spans="1:15" hidden="1">
      <c r="A1350" s="24" t="str">
        <f t="shared" si="212"/>
        <v/>
      </c>
      <c r="B1350" s="176" t="str">
        <f>IF(AND(MONTH(E1350)='IN-NX'!$J$5,'IN-NX'!$D$7=(D1350&amp;"/"&amp;C1350)),"x","")</f>
        <v/>
      </c>
      <c r="C1350" s="173"/>
      <c r="D1350" s="173"/>
      <c r="E1350" s="70"/>
      <c r="F1350" s="62"/>
      <c r="G1350" s="19"/>
      <c r="H1350" s="178"/>
      <c r="I1350" s="57"/>
      <c r="J1350" s="15"/>
      <c r="K1350" s="15"/>
      <c r="L1350" s="15">
        <f t="shared" si="213"/>
        <v>0</v>
      </c>
      <c r="M1350" s="15"/>
      <c r="N1350" s="15">
        <f t="shared" si="214"/>
        <v>0</v>
      </c>
      <c r="O1350" s="15" t="str">
        <f>IF(AND(A1350='BANG KE NL'!$M$11,TH!C1350="NL",LEFT(D1350,1)="N"),"x","")</f>
        <v/>
      </c>
    </row>
    <row r="1351" spans="1:15" hidden="1">
      <c r="A1351" s="24" t="str">
        <f t="shared" si="212"/>
        <v/>
      </c>
      <c r="B1351" s="176" t="str">
        <f>IF(AND(MONTH(E1351)='IN-NX'!$J$5,'IN-NX'!$D$7=(D1351&amp;"/"&amp;C1351)),"x","")</f>
        <v/>
      </c>
      <c r="C1351" s="173"/>
      <c r="D1351" s="173"/>
      <c r="E1351" s="70"/>
      <c r="F1351" s="62"/>
      <c r="G1351" s="19"/>
      <c r="H1351" s="178"/>
      <c r="I1351" s="57"/>
      <c r="J1351" s="15"/>
      <c r="K1351" s="15"/>
      <c r="L1351" s="15">
        <f t="shared" si="213"/>
        <v>0</v>
      </c>
      <c r="M1351" s="15"/>
      <c r="N1351" s="15">
        <f t="shared" si="214"/>
        <v>0</v>
      </c>
      <c r="O1351" s="15" t="str">
        <f>IF(AND(A1351='BANG KE NL'!$M$11,TH!C1351="NL",LEFT(D1351,1)="N"),"x","")</f>
        <v/>
      </c>
    </row>
    <row r="1352" spans="1:15" hidden="1">
      <c r="A1352" s="24" t="str">
        <f t="shared" si="212"/>
        <v/>
      </c>
      <c r="B1352" s="176" t="str">
        <f>IF(AND(MONTH(E1352)='IN-NX'!$J$5,'IN-NX'!$D$7=(D1352&amp;"/"&amp;C1352)),"x","")</f>
        <v/>
      </c>
      <c r="C1352" s="173"/>
      <c r="D1352" s="173"/>
      <c r="E1352" s="70"/>
      <c r="F1352" s="62"/>
      <c r="G1352" s="19"/>
      <c r="H1352" s="178"/>
      <c r="I1352" s="57"/>
      <c r="J1352" s="15"/>
      <c r="K1352" s="15"/>
      <c r="L1352" s="15">
        <f t="shared" si="213"/>
        <v>0</v>
      </c>
      <c r="M1352" s="15"/>
      <c r="N1352" s="15">
        <f t="shared" si="214"/>
        <v>0</v>
      </c>
      <c r="O1352" s="15" t="str">
        <f>IF(AND(A1352='BANG KE NL'!$M$11,TH!C1352="NL",LEFT(D1352,1)="N"),"x","")</f>
        <v/>
      </c>
    </row>
    <row r="1353" spans="1:15" hidden="1">
      <c r="A1353" s="24" t="str">
        <f t="shared" si="212"/>
        <v/>
      </c>
      <c r="B1353" s="176" t="str">
        <f>IF(AND(MONTH(E1353)='IN-NX'!$J$5,'IN-NX'!$D$7=(D1353&amp;"/"&amp;C1353)),"x","")</f>
        <v/>
      </c>
      <c r="C1353" s="173"/>
      <c r="D1353" s="173"/>
      <c r="E1353" s="70"/>
      <c r="F1353" s="62"/>
      <c r="G1353" s="19"/>
      <c r="H1353" s="178"/>
      <c r="I1353" s="57"/>
      <c r="J1353" s="15"/>
      <c r="K1353" s="15"/>
      <c r="L1353" s="15">
        <f t="shared" si="213"/>
        <v>0</v>
      </c>
      <c r="M1353" s="15"/>
      <c r="N1353" s="15">
        <f t="shared" si="214"/>
        <v>0</v>
      </c>
      <c r="O1353" s="15" t="str">
        <f>IF(AND(A1353='BANG KE NL'!$M$11,TH!C1353="NL",LEFT(D1353,1)="N"),"x","")</f>
        <v/>
      </c>
    </row>
    <row r="1354" spans="1:15" hidden="1">
      <c r="A1354" s="24" t="str">
        <f t="shared" si="212"/>
        <v/>
      </c>
      <c r="B1354" s="176" t="str">
        <f>IF(AND(MONTH(E1354)='IN-NX'!$J$5,'IN-NX'!$D$7=(D1354&amp;"/"&amp;C1354)),"x","")</f>
        <v/>
      </c>
      <c r="C1354" s="173"/>
      <c r="D1354" s="173"/>
      <c r="E1354" s="70"/>
      <c r="F1354" s="62"/>
      <c r="G1354" s="19"/>
      <c r="H1354" s="178"/>
      <c r="I1354" s="57"/>
      <c r="J1354" s="15"/>
      <c r="K1354" s="15"/>
      <c r="L1354" s="15">
        <f t="shared" si="213"/>
        <v>0</v>
      </c>
      <c r="M1354" s="15"/>
      <c r="N1354" s="15">
        <f t="shared" si="214"/>
        <v>0</v>
      </c>
      <c r="O1354" s="15" t="str">
        <f>IF(AND(A1354='BANG KE NL'!$M$11,TH!C1354="NL",LEFT(D1354,1)="N"),"x","")</f>
        <v/>
      </c>
    </row>
    <row r="1355" spans="1:15" hidden="1">
      <c r="A1355" s="24" t="str">
        <f t="shared" si="212"/>
        <v/>
      </c>
      <c r="B1355" s="176" t="str">
        <f>IF(AND(MONTH(E1355)='IN-NX'!$J$5,'IN-NX'!$D$7=(D1355&amp;"/"&amp;C1355)),"x","")</f>
        <v/>
      </c>
      <c r="C1355" s="173"/>
      <c r="D1355" s="173"/>
      <c r="E1355" s="70"/>
      <c r="F1355" s="62"/>
      <c r="G1355" s="19"/>
      <c r="H1355" s="178"/>
      <c r="I1355" s="57"/>
      <c r="J1355" s="15"/>
      <c r="K1355" s="15"/>
      <c r="L1355" s="15">
        <f t="shared" si="213"/>
        <v>0</v>
      </c>
      <c r="M1355" s="15"/>
      <c r="N1355" s="15">
        <f t="shared" si="214"/>
        <v>0</v>
      </c>
      <c r="O1355" s="15" t="str">
        <f>IF(AND(A1355='BANG KE NL'!$M$11,TH!C1355="NL",LEFT(D1355,1)="N"),"x","")</f>
        <v/>
      </c>
    </row>
    <row r="1356" spans="1:15" hidden="1">
      <c r="A1356" s="24" t="str">
        <f t="shared" si="212"/>
        <v/>
      </c>
      <c r="B1356" s="176" t="str">
        <f>IF(AND(MONTH(E1356)='IN-NX'!$J$5,'IN-NX'!$D$7=(D1356&amp;"/"&amp;C1356)),"x","")</f>
        <v/>
      </c>
      <c r="C1356" s="173"/>
      <c r="D1356" s="173"/>
      <c r="E1356" s="70"/>
      <c r="F1356" s="62"/>
      <c r="G1356" s="19"/>
      <c r="H1356" s="178"/>
      <c r="I1356" s="57"/>
      <c r="J1356" s="15"/>
      <c r="K1356" s="15"/>
      <c r="L1356" s="15">
        <f t="shared" si="213"/>
        <v>0</v>
      </c>
      <c r="M1356" s="15"/>
      <c r="N1356" s="15">
        <f t="shared" si="214"/>
        <v>0</v>
      </c>
      <c r="O1356" s="15" t="str">
        <f>IF(AND(A1356='BANG KE NL'!$M$11,TH!C1356="NL",LEFT(D1356,1)="N"),"x","")</f>
        <v/>
      </c>
    </row>
    <row r="1357" spans="1:15" hidden="1">
      <c r="A1357" s="24" t="str">
        <f t="shared" si="212"/>
        <v/>
      </c>
      <c r="B1357" s="176" t="str">
        <f>IF(AND(MONTH(E1357)='IN-NX'!$J$5,'IN-NX'!$D$7=(D1357&amp;"/"&amp;C1357)),"x","")</f>
        <v/>
      </c>
      <c r="C1357" s="173"/>
      <c r="D1357" s="173"/>
      <c r="E1357" s="70"/>
      <c r="F1357" s="62"/>
      <c r="G1357" s="19"/>
      <c r="H1357" s="178"/>
      <c r="I1357" s="57"/>
      <c r="J1357" s="15"/>
      <c r="K1357" s="15"/>
      <c r="L1357" s="15">
        <f t="shared" si="213"/>
        <v>0</v>
      </c>
      <c r="M1357" s="15"/>
      <c r="N1357" s="15">
        <f t="shared" si="214"/>
        <v>0</v>
      </c>
      <c r="O1357" s="15" t="str">
        <f>IF(AND(A1357='BANG KE NL'!$M$11,TH!C1357="NL",LEFT(D1357,1)="N"),"x","")</f>
        <v/>
      </c>
    </row>
    <row r="1358" spans="1:15" hidden="1">
      <c r="A1358" s="24" t="str">
        <f t="shared" si="212"/>
        <v/>
      </c>
      <c r="B1358" s="176" t="str">
        <f>IF(AND(MONTH(E1358)='IN-NX'!$J$5,'IN-NX'!$D$7=(D1358&amp;"/"&amp;C1358)),"x","")</f>
        <v/>
      </c>
      <c r="C1358" s="173"/>
      <c r="D1358" s="173"/>
      <c r="E1358" s="70"/>
      <c r="F1358" s="62"/>
      <c r="G1358" s="19"/>
      <c r="H1358" s="178"/>
      <c r="I1358" s="57"/>
      <c r="J1358" s="15"/>
      <c r="K1358" s="15"/>
      <c r="L1358" s="15">
        <f t="shared" si="213"/>
        <v>0</v>
      </c>
      <c r="M1358" s="15"/>
      <c r="N1358" s="15">
        <f t="shared" si="214"/>
        <v>0</v>
      </c>
      <c r="O1358" s="15" t="str">
        <f>IF(AND(A1358='BANG KE NL'!$M$11,TH!C1358="NL",LEFT(D1358,1)="N"),"x","")</f>
        <v/>
      </c>
    </row>
    <row r="1359" spans="1:15" hidden="1">
      <c r="A1359" s="24" t="str">
        <f t="shared" si="212"/>
        <v/>
      </c>
      <c r="B1359" s="176" t="str">
        <f>IF(AND(MONTH(E1359)='IN-NX'!$J$5,'IN-NX'!$D$7=(D1359&amp;"/"&amp;C1359)),"x","")</f>
        <v/>
      </c>
      <c r="C1359" s="173"/>
      <c r="D1359" s="173"/>
      <c r="E1359" s="70"/>
      <c r="F1359" s="62"/>
      <c r="G1359" s="19"/>
      <c r="H1359" s="178"/>
      <c r="I1359" s="57"/>
      <c r="J1359" s="15"/>
      <c r="K1359" s="15"/>
      <c r="L1359" s="15">
        <f t="shared" si="213"/>
        <v>0</v>
      </c>
      <c r="M1359" s="15"/>
      <c r="N1359" s="15">
        <f t="shared" si="214"/>
        <v>0</v>
      </c>
      <c r="O1359" s="15" t="str">
        <f>IF(AND(A1359='BANG KE NL'!$M$11,TH!C1359="NL",LEFT(D1359,1)="N"),"x","")</f>
        <v/>
      </c>
    </row>
    <row r="1360" spans="1:15" hidden="1">
      <c r="A1360" s="24" t="str">
        <f t="shared" si="212"/>
        <v/>
      </c>
      <c r="B1360" s="176" t="str">
        <f>IF(AND(MONTH(E1360)='IN-NX'!$J$5,'IN-NX'!$D$7=(D1360&amp;"/"&amp;C1360)),"x","")</f>
        <v/>
      </c>
      <c r="C1360" s="173"/>
      <c r="D1360" s="173"/>
      <c r="E1360" s="70"/>
      <c r="F1360" s="62"/>
      <c r="G1360" s="19"/>
      <c r="H1360" s="178"/>
      <c r="I1360" s="57"/>
      <c r="J1360" s="15"/>
      <c r="K1360" s="15"/>
      <c r="L1360" s="15">
        <f t="shared" si="213"/>
        <v>0</v>
      </c>
      <c r="M1360" s="15"/>
      <c r="N1360" s="15">
        <f t="shared" si="214"/>
        <v>0</v>
      </c>
      <c r="O1360" s="15" t="str">
        <f>IF(AND(A1360='BANG KE NL'!$M$11,TH!C1360="NL",LEFT(D1360,1)="N"),"x","")</f>
        <v/>
      </c>
    </row>
    <row r="1361" spans="1:15" hidden="1">
      <c r="A1361" s="24" t="str">
        <f t="shared" si="212"/>
        <v/>
      </c>
      <c r="B1361" s="176" t="str">
        <f>IF(AND(MONTH(E1361)='IN-NX'!$J$5,'IN-NX'!$D$7=(D1361&amp;"/"&amp;C1361)),"x","")</f>
        <v/>
      </c>
      <c r="C1361" s="173"/>
      <c r="D1361" s="173"/>
      <c r="E1361" s="70"/>
      <c r="F1361" s="62"/>
      <c r="G1361" s="19"/>
      <c r="H1361" s="178"/>
      <c r="I1361" s="57"/>
      <c r="J1361" s="15"/>
      <c r="K1361" s="15"/>
      <c r="L1361" s="15">
        <f t="shared" si="213"/>
        <v>0</v>
      </c>
      <c r="M1361" s="15"/>
      <c r="N1361" s="15">
        <f t="shared" si="214"/>
        <v>0</v>
      </c>
      <c r="O1361" s="15" t="str">
        <f>IF(AND(A1361='BANG KE NL'!$M$11,TH!C1361="NL",LEFT(D1361,1)="N"),"x","")</f>
        <v/>
      </c>
    </row>
    <row r="1362" spans="1:15" hidden="1">
      <c r="A1362" s="24" t="str">
        <f t="shared" si="212"/>
        <v/>
      </c>
      <c r="B1362" s="176" t="str">
        <f>IF(AND(MONTH(E1362)='IN-NX'!$J$5,'IN-NX'!$D$7=(D1362&amp;"/"&amp;C1362)),"x","")</f>
        <v/>
      </c>
      <c r="C1362" s="173"/>
      <c r="D1362" s="173"/>
      <c r="E1362" s="70"/>
      <c r="F1362" s="62"/>
      <c r="G1362" s="19"/>
      <c r="H1362" s="178"/>
      <c r="I1362" s="57"/>
      <c r="J1362" s="15"/>
      <c r="K1362" s="15"/>
      <c r="L1362" s="15">
        <f t="shared" si="213"/>
        <v>0</v>
      </c>
      <c r="M1362" s="15"/>
      <c r="N1362" s="15">
        <f t="shared" si="214"/>
        <v>0</v>
      </c>
      <c r="O1362" s="15" t="str">
        <f>IF(AND(A1362='BANG KE NL'!$M$11,TH!C1362="NL",LEFT(D1362,1)="N"),"x","")</f>
        <v/>
      </c>
    </row>
    <row r="1363" spans="1:15" hidden="1">
      <c r="A1363" s="24" t="str">
        <f t="shared" si="212"/>
        <v/>
      </c>
      <c r="B1363" s="176" t="str">
        <f>IF(AND(MONTH(E1363)='IN-NX'!$J$5,'IN-NX'!$D$7=(D1363&amp;"/"&amp;C1363)),"x","")</f>
        <v/>
      </c>
      <c r="C1363" s="173"/>
      <c r="D1363" s="173"/>
      <c r="E1363" s="70"/>
      <c r="F1363" s="62"/>
      <c r="G1363" s="19"/>
      <c r="H1363" s="178"/>
      <c r="I1363" s="57"/>
      <c r="J1363" s="15"/>
      <c r="K1363" s="15"/>
      <c r="L1363" s="15">
        <f t="shared" si="213"/>
        <v>0</v>
      </c>
      <c r="M1363" s="15"/>
      <c r="N1363" s="15">
        <f t="shared" si="214"/>
        <v>0</v>
      </c>
      <c r="O1363" s="15" t="str">
        <f>IF(AND(A1363='BANG KE NL'!$M$11,TH!C1363="NL",LEFT(D1363,1)="N"),"x","")</f>
        <v/>
      </c>
    </row>
    <row r="1364" spans="1:15" hidden="1">
      <c r="A1364" s="24" t="str">
        <f t="shared" si="212"/>
        <v/>
      </c>
      <c r="B1364" s="176" t="str">
        <f>IF(AND(MONTH(E1364)='IN-NX'!$J$5,'IN-NX'!$D$7=(D1364&amp;"/"&amp;C1364)),"x","")</f>
        <v/>
      </c>
      <c r="C1364" s="173"/>
      <c r="D1364" s="173"/>
      <c r="E1364" s="70"/>
      <c r="F1364" s="62"/>
      <c r="G1364" s="19"/>
      <c r="H1364" s="178"/>
      <c r="I1364" s="57"/>
      <c r="J1364" s="15"/>
      <c r="K1364" s="15"/>
      <c r="L1364" s="15">
        <f t="shared" si="213"/>
        <v>0</v>
      </c>
      <c r="M1364" s="15"/>
      <c r="N1364" s="15">
        <f t="shared" si="214"/>
        <v>0</v>
      </c>
      <c r="O1364" s="15" t="str">
        <f>IF(AND(A1364='BANG KE NL'!$M$11,TH!C1364="NL",LEFT(D1364,1)="N"),"x","")</f>
        <v/>
      </c>
    </row>
    <row r="1365" spans="1:15" hidden="1">
      <c r="A1365" s="24" t="str">
        <f t="shared" si="212"/>
        <v/>
      </c>
      <c r="B1365" s="176" t="str">
        <f>IF(AND(MONTH(E1365)='IN-NX'!$J$5,'IN-NX'!$D$7=(D1365&amp;"/"&amp;C1365)),"x","")</f>
        <v/>
      </c>
      <c r="C1365" s="173"/>
      <c r="D1365" s="173"/>
      <c r="E1365" s="70"/>
      <c r="F1365" s="62"/>
      <c r="G1365" s="19"/>
      <c r="H1365" s="178"/>
      <c r="I1365" s="57"/>
      <c r="J1365" s="15"/>
      <c r="K1365" s="15"/>
      <c r="L1365" s="15">
        <f t="shared" si="213"/>
        <v>0</v>
      </c>
      <c r="M1365" s="15"/>
      <c r="N1365" s="15">
        <f t="shared" si="214"/>
        <v>0</v>
      </c>
      <c r="O1365" s="15" t="str">
        <f>IF(AND(A1365='BANG KE NL'!$M$11,TH!C1365="NL",LEFT(D1365,1)="N"),"x","")</f>
        <v/>
      </c>
    </row>
    <row r="1366" spans="1:15" hidden="1">
      <c r="A1366" s="24" t="str">
        <f t="shared" si="212"/>
        <v/>
      </c>
      <c r="B1366" s="176" t="str">
        <f>IF(AND(MONTH(E1366)='IN-NX'!$J$5,'IN-NX'!$D$7=(D1366&amp;"/"&amp;C1366)),"x","")</f>
        <v/>
      </c>
      <c r="C1366" s="173"/>
      <c r="D1366" s="173"/>
      <c r="E1366" s="70"/>
      <c r="F1366" s="62"/>
      <c r="G1366" s="19"/>
      <c r="H1366" s="178"/>
      <c r="I1366" s="57"/>
      <c r="J1366" s="15"/>
      <c r="K1366" s="15"/>
      <c r="L1366" s="15">
        <f t="shared" si="213"/>
        <v>0</v>
      </c>
      <c r="M1366" s="15"/>
      <c r="N1366" s="15">
        <f t="shared" si="214"/>
        <v>0</v>
      </c>
      <c r="O1366" s="15" t="str">
        <f>IF(AND(A1366='BANG KE NL'!$M$11,TH!C1366="NL",LEFT(D1366,1)="N"),"x","")</f>
        <v/>
      </c>
    </row>
    <row r="1367" spans="1:15" hidden="1">
      <c r="A1367" s="24" t="str">
        <f t="shared" si="212"/>
        <v/>
      </c>
      <c r="B1367" s="176" t="str">
        <f>IF(AND(MONTH(E1367)='IN-NX'!$J$5,'IN-NX'!$D$7=(D1367&amp;"/"&amp;C1367)),"x","")</f>
        <v/>
      </c>
      <c r="C1367" s="173"/>
      <c r="D1367" s="173"/>
      <c r="E1367" s="70"/>
      <c r="F1367" s="62"/>
      <c r="G1367" s="19"/>
      <c r="H1367" s="178"/>
      <c r="I1367" s="57"/>
      <c r="J1367" s="15"/>
      <c r="K1367" s="15"/>
      <c r="L1367" s="15">
        <f t="shared" si="213"/>
        <v>0</v>
      </c>
      <c r="M1367" s="15"/>
      <c r="N1367" s="15">
        <f t="shared" si="214"/>
        <v>0</v>
      </c>
      <c r="O1367" s="15" t="str">
        <f>IF(AND(A1367='BANG KE NL'!$M$11,TH!C1367="NL",LEFT(D1367,1)="N"),"x","")</f>
        <v/>
      </c>
    </row>
    <row r="1368" spans="1:15" hidden="1">
      <c r="A1368" s="24" t="str">
        <f t="shared" si="212"/>
        <v/>
      </c>
      <c r="B1368" s="176" t="str">
        <f>IF(AND(MONTH(E1368)='IN-NX'!$J$5,'IN-NX'!$D$7=(D1368&amp;"/"&amp;C1368)),"x","")</f>
        <v/>
      </c>
      <c r="C1368" s="173"/>
      <c r="D1368" s="173"/>
      <c r="E1368" s="70"/>
      <c r="F1368" s="62"/>
      <c r="G1368" s="19"/>
      <c r="H1368" s="178"/>
      <c r="I1368" s="57"/>
      <c r="J1368" s="15"/>
      <c r="K1368" s="15"/>
      <c r="L1368" s="15">
        <f t="shared" si="213"/>
        <v>0</v>
      </c>
      <c r="M1368" s="15"/>
      <c r="N1368" s="15">
        <f t="shared" si="214"/>
        <v>0</v>
      </c>
      <c r="O1368" s="15" t="str">
        <f>IF(AND(A1368='BANG KE NL'!$M$11,TH!C1368="NL",LEFT(D1368,1)="N"),"x","")</f>
        <v/>
      </c>
    </row>
    <row r="1369" spans="1:15" hidden="1">
      <c r="A1369" s="24" t="str">
        <f t="shared" si="212"/>
        <v/>
      </c>
      <c r="B1369" s="176" t="str">
        <f>IF(AND(MONTH(E1369)='IN-NX'!$J$5,'IN-NX'!$D$7=(D1369&amp;"/"&amp;C1369)),"x","")</f>
        <v/>
      </c>
      <c r="C1369" s="173"/>
      <c r="D1369" s="173"/>
      <c r="E1369" s="70"/>
      <c r="F1369" s="62"/>
      <c r="G1369" s="19"/>
      <c r="H1369" s="178"/>
      <c r="I1369" s="57"/>
      <c r="J1369" s="15"/>
      <c r="K1369" s="15"/>
      <c r="L1369" s="15">
        <f t="shared" si="213"/>
        <v>0</v>
      </c>
      <c r="M1369" s="15"/>
      <c r="N1369" s="15">
        <f t="shared" si="214"/>
        <v>0</v>
      </c>
      <c r="O1369" s="15" t="str">
        <f>IF(AND(A1369='BANG KE NL'!$M$11,TH!C1369="NL",LEFT(D1369,1)="N"),"x","")</f>
        <v/>
      </c>
    </row>
    <row r="1370" spans="1:15" hidden="1">
      <c r="A1370" s="24" t="str">
        <f t="shared" si="212"/>
        <v/>
      </c>
      <c r="B1370" s="176" t="str">
        <f>IF(AND(MONTH(E1370)='IN-NX'!$J$5,'IN-NX'!$D$7=(D1370&amp;"/"&amp;C1370)),"x","")</f>
        <v/>
      </c>
      <c r="C1370" s="173"/>
      <c r="D1370" s="173"/>
      <c r="E1370" s="70"/>
      <c r="F1370" s="62"/>
      <c r="G1370" s="19"/>
      <c r="H1370" s="178"/>
      <c r="I1370" s="57"/>
      <c r="J1370" s="15"/>
      <c r="K1370" s="15"/>
      <c r="L1370" s="15">
        <f t="shared" si="213"/>
        <v>0</v>
      </c>
      <c r="M1370" s="15"/>
      <c r="N1370" s="15">
        <f t="shared" si="214"/>
        <v>0</v>
      </c>
      <c r="O1370" s="15" t="str">
        <f>IF(AND(A1370='BANG KE NL'!$M$11,TH!C1370="NL",LEFT(D1370,1)="N"),"x","")</f>
        <v/>
      </c>
    </row>
    <row r="1371" spans="1:15" hidden="1">
      <c r="A1371" s="24" t="str">
        <f t="shared" si="212"/>
        <v/>
      </c>
      <c r="B1371" s="176" t="str">
        <f>IF(AND(MONTH(E1371)='IN-NX'!$J$5,'IN-NX'!$D$7=(D1371&amp;"/"&amp;C1371)),"x","")</f>
        <v/>
      </c>
      <c r="C1371" s="173"/>
      <c r="D1371" s="173"/>
      <c r="E1371" s="70"/>
      <c r="F1371" s="62"/>
      <c r="G1371" s="19"/>
      <c r="H1371" s="178"/>
      <c r="I1371" s="57"/>
      <c r="J1371" s="15"/>
      <c r="K1371" s="15"/>
      <c r="L1371" s="15">
        <f t="shared" si="213"/>
        <v>0</v>
      </c>
      <c r="M1371" s="15"/>
      <c r="N1371" s="15">
        <f t="shared" si="214"/>
        <v>0</v>
      </c>
      <c r="O1371" s="15" t="str">
        <f>IF(AND(A1371='BANG KE NL'!$M$11,TH!C1371="NL",LEFT(D1371,1)="N"),"x","")</f>
        <v/>
      </c>
    </row>
    <row r="1372" spans="1:15" hidden="1">
      <c r="A1372" s="24" t="str">
        <f t="shared" si="212"/>
        <v/>
      </c>
      <c r="B1372" s="176" t="str">
        <f>IF(AND(MONTH(E1372)='IN-NX'!$J$5,'IN-NX'!$D$7=(D1372&amp;"/"&amp;C1372)),"x","")</f>
        <v/>
      </c>
      <c r="C1372" s="173"/>
      <c r="D1372" s="173"/>
      <c r="E1372" s="70"/>
      <c r="F1372" s="62"/>
      <c r="G1372" s="19"/>
      <c r="H1372" s="178"/>
      <c r="I1372" s="57"/>
      <c r="J1372" s="15"/>
      <c r="K1372" s="15"/>
      <c r="L1372" s="15">
        <f t="shared" si="213"/>
        <v>0</v>
      </c>
      <c r="M1372" s="15"/>
      <c r="N1372" s="15">
        <f t="shared" si="214"/>
        <v>0</v>
      </c>
      <c r="O1372" s="15" t="str">
        <f>IF(AND(A1372='BANG KE NL'!$M$11,TH!C1372="NL",LEFT(D1372,1)="N"),"x","")</f>
        <v/>
      </c>
    </row>
    <row r="1373" spans="1:15" hidden="1">
      <c r="A1373" s="24" t="str">
        <f t="shared" si="212"/>
        <v/>
      </c>
      <c r="B1373" s="176" t="str">
        <f>IF(AND(MONTH(E1373)='IN-NX'!$J$5,'IN-NX'!$D$7=(D1373&amp;"/"&amp;C1373)),"x","")</f>
        <v/>
      </c>
      <c r="C1373" s="173"/>
      <c r="D1373" s="173"/>
      <c r="E1373" s="70"/>
      <c r="F1373" s="62"/>
      <c r="G1373" s="19"/>
      <c r="H1373" s="178"/>
      <c r="I1373" s="57"/>
      <c r="J1373" s="15"/>
      <c r="K1373" s="15"/>
      <c r="L1373" s="15">
        <f t="shared" si="213"/>
        <v>0</v>
      </c>
      <c r="M1373" s="15"/>
      <c r="N1373" s="15">
        <f t="shared" si="214"/>
        <v>0</v>
      </c>
      <c r="O1373" s="15" t="str">
        <f>IF(AND(A1373='BANG KE NL'!$M$11,TH!C1373="NL",LEFT(D1373,1)="N"),"x","")</f>
        <v/>
      </c>
    </row>
    <row r="1374" spans="1:15" hidden="1">
      <c r="A1374" s="24" t="str">
        <f t="shared" si="212"/>
        <v/>
      </c>
      <c r="B1374" s="176" t="str">
        <f>IF(AND(MONTH(E1374)='IN-NX'!$J$5,'IN-NX'!$D$7=(D1374&amp;"/"&amp;C1374)),"x","")</f>
        <v/>
      </c>
      <c r="C1374" s="173"/>
      <c r="D1374" s="173"/>
      <c r="E1374" s="70"/>
      <c r="F1374" s="62"/>
      <c r="G1374" s="19"/>
      <c r="H1374" s="178"/>
      <c r="I1374" s="57"/>
      <c r="J1374" s="15"/>
      <c r="K1374" s="15"/>
      <c r="L1374" s="15">
        <f t="shared" si="213"/>
        <v>0</v>
      </c>
      <c r="M1374" s="15"/>
      <c r="N1374" s="15">
        <f t="shared" si="214"/>
        <v>0</v>
      </c>
      <c r="O1374" s="15" t="str">
        <f>IF(AND(A1374='BANG KE NL'!$M$11,TH!C1374="NL",LEFT(D1374,1)="N"),"x","")</f>
        <v/>
      </c>
    </row>
    <row r="1375" spans="1:15" hidden="1">
      <c r="A1375" s="24" t="str">
        <f t="shared" si="212"/>
        <v/>
      </c>
      <c r="B1375" s="176" t="str">
        <f>IF(AND(MONTH(E1375)='IN-NX'!$J$5,'IN-NX'!$D$7=(D1375&amp;"/"&amp;C1375)),"x","")</f>
        <v/>
      </c>
      <c r="C1375" s="173"/>
      <c r="D1375" s="173"/>
      <c r="E1375" s="70"/>
      <c r="F1375" s="62"/>
      <c r="G1375" s="19"/>
      <c r="H1375" s="178"/>
      <c r="I1375" s="57"/>
      <c r="J1375" s="15"/>
      <c r="K1375" s="15"/>
      <c r="L1375" s="15">
        <f t="shared" si="213"/>
        <v>0</v>
      </c>
      <c r="M1375" s="15"/>
      <c r="N1375" s="15">
        <f t="shared" si="214"/>
        <v>0</v>
      </c>
      <c r="O1375" s="15" t="str">
        <f>IF(AND(A1375='BANG KE NL'!$M$11,TH!C1375="NL",LEFT(D1375,1)="N"),"x","")</f>
        <v/>
      </c>
    </row>
    <row r="1376" spans="1:15" hidden="1">
      <c r="A1376" s="24" t="str">
        <f t="shared" si="212"/>
        <v/>
      </c>
      <c r="B1376" s="176" t="str">
        <f>IF(AND(MONTH(E1376)='IN-NX'!$J$5,'IN-NX'!$D$7=(D1376&amp;"/"&amp;C1376)),"x","")</f>
        <v/>
      </c>
      <c r="C1376" s="173"/>
      <c r="D1376" s="173"/>
      <c r="E1376" s="70"/>
      <c r="F1376" s="62"/>
      <c r="G1376" s="19"/>
      <c r="H1376" s="178"/>
      <c r="I1376" s="57"/>
      <c r="J1376" s="15"/>
      <c r="K1376" s="15"/>
      <c r="L1376" s="15">
        <f t="shared" si="213"/>
        <v>0</v>
      </c>
      <c r="M1376" s="15"/>
      <c r="N1376" s="15">
        <f t="shared" si="214"/>
        <v>0</v>
      </c>
      <c r="O1376" s="15" t="str">
        <f>IF(AND(A1376='BANG KE NL'!$M$11,TH!C1376="NL",LEFT(D1376,1)="N"),"x","")</f>
        <v/>
      </c>
    </row>
    <row r="1377" spans="1:15" hidden="1">
      <c r="A1377" s="24" t="str">
        <f t="shared" si="212"/>
        <v/>
      </c>
      <c r="B1377" s="176" t="str">
        <f>IF(AND(MONTH(E1377)='IN-NX'!$J$5,'IN-NX'!$D$7=(D1377&amp;"/"&amp;C1377)),"x","")</f>
        <v/>
      </c>
      <c r="C1377" s="173"/>
      <c r="D1377" s="173"/>
      <c r="E1377" s="70"/>
      <c r="F1377" s="62"/>
      <c r="G1377" s="19"/>
      <c r="H1377" s="178"/>
      <c r="I1377" s="57"/>
      <c r="J1377" s="15"/>
      <c r="K1377" s="15"/>
      <c r="L1377" s="15">
        <f t="shared" si="213"/>
        <v>0</v>
      </c>
      <c r="M1377" s="15"/>
      <c r="N1377" s="15">
        <f t="shared" si="214"/>
        <v>0</v>
      </c>
      <c r="O1377" s="15" t="str">
        <f>IF(AND(A1377='BANG KE NL'!$M$11,TH!C1377="NL",LEFT(D1377,1)="N"),"x","")</f>
        <v/>
      </c>
    </row>
    <row r="1378" spans="1:15" hidden="1">
      <c r="A1378" s="24" t="str">
        <f t="shared" si="212"/>
        <v/>
      </c>
      <c r="B1378" s="176" t="str">
        <f>IF(AND(MONTH(E1378)='IN-NX'!$J$5,'IN-NX'!$D$7=(D1378&amp;"/"&amp;C1378)),"x","")</f>
        <v/>
      </c>
      <c r="C1378" s="173"/>
      <c r="D1378" s="173"/>
      <c r="E1378" s="70"/>
      <c r="F1378" s="62"/>
      <c r="G1378" s="19"/>
      <c r="H1378" s="178"/>
      <c r="I1378" s="57"/>
      <c r="J1378" s="15"/>
      <c r="K1378" s="15"/>
      <c r="L1378" s="15">
        <f t="shared" si="213"/>
        <v>0</v>
      </c>
      <c r="M1378" s="15"/>
      <c r="N1378" s="15">
        <f t="shared" si="214"/>
        <v>0</v>
      </c>
      <c r="O1378" s="15" t="str">
        <f>IF(AND(A1378='BANG KE NL'!$M$11,TH!C1378="NL",LEFT(D1378,1)="N"),"x","")</f>
        <v/>
      </c>
    </row>
    <row r="1379" spans="1:15" hidden="1">
      <c r="A1379" s="24" t="str">
        <f t="shared" si="212"/>
        <v/>
      </c>
      <c r="B1379" s="176" t="str">
        <f>IF(AND(MONTH(E1379)='IN-NX'!$J$5,'IN-NX'!$D$7=(D1379&amp;"/"&amp;C1379)),"x","")</f>
        <v/>
      </c>
      <c r="C1379" s="173"/>
      <c r="D1379" s="173"/>
      <c r="E1379" s="70"/>
      <c r="F1379" s="62"/>
      <c r="G1379" s="19"/>
      <c r="H1379" s="178"/>
      <c r="I1379" s="57"/>
      <c r="J1379" s="15"/>
      <c r="K1379" s="15"/>
      <c r="L1379" s="15">
        <f t="shared" si="213"/>
        <v>0</v>
      </c>
      <c r="M1379" s="15"/>
      <c r="N1379" s="15">
        <f t="shared" si="214"/>
        <v>0</v>
      </c>
      <c r="O1379" s="15" t="str">
        <f>IF(AND(A1379='BANG KE NL'!$M$11,TH!C1379="NL",LEFT(D1379,1)="N"),"x","")</f>
        <v/>
      </c>
    </row>
    <row r="1380" spans="1:15" hidden="1">
      <c r="A1380" s="24" t="str">
        <f t="shared" si="212"/>
        <v/>
      </c>
      <c r="B1380" s="176" t="str">
        <f>IF(AND(MONTH(E1380)='IN-NX'!$J$5,'IN-NX'!$D$7=(D1380&amp;"/"&amp;C1380)),"x","")</f>
        <v/>
      </c>
      <c r="C1380" s="173"/>
      <c r="D1380" s="173"/>
      <c r="E1380" s="70"/>
      <c r="F1380" s="62"/>
      <c r="G1380" s="19"/>
      <c r="H1380" s="178"/>
      <c r="I1380" s="57"/>
      <c r="J1380" s="15"/>
      <c r="K1380" s="15"/>
      <c r="L1380" s="15">
        <f t="shared" si="213"/>
        <v>0</v>
      </c>
      <c r="M1380" s="15"/>
      <c r="N1380" s="15">
        <f t="shared" si="214"/>
        <v>0</v>
      </c>
      <c r="O1380" s="15" t="str">
        <f>IF(AND(A1380='BANG KE NL'!$M$11,TH!C1380="NL",LEFT(D1380,1)="N"),"x","")</f>
        <v/>
      </c>
    </row>
    <row r="1381" spans="1:15" hidden="1">
      <c r="A1381" s="24" t="str">
        <f t="shared" ref="A1381:A1444" si="215">IF(E1381&lt;&gt;"",MONTH(E1381),"")</f>
        <v/>
      </c>
      <c r="B1381" s="176" t="str">
        <f>IF(AND(MONTH(E1381)='IN-NX'!$J$5,'IN-NX'!$D$7=(D1381&amp;"/"&amp;C1381)),"x","")</f>
        <v/>
      </c>
      <c r="C1381" s="173"/>
      <c r="D1381" s="173"/>
      <c r="E1381" s="70"/>
      <c r="F1381" s="62"/>
      <c r="G1381" s="19"/>
      <c r="H1381" s="178"/>
      <c r="I1381" s="57"/>
      <c r="J1381" s="15"/>
      <c r="K1381" s="15"/>
      <c r="L1381" s="15">
        <f t="shared" si="213"/>
        <v>0</v>
      </c>
      <c r="M1381" s="15"/>
      <c r="N1381" s="15">
        <f t="shared" si="214"/>
        <v>0</v>
      </c>
      <c r="O1381" s="15" t="str">
        <f>IF(AND(A1381='BANG KE NL'!$M$11,TH!C1381="NL",LEFT(D1381,1)="N"),"x","")</f>
        <v/>
      </c>
    </row>
    <row r="1382" spans="1:15" hidden="1">
      <c r="A1382" s="24" t="str">
        <f t="shared" si="215"/>
        <v/>
      </c>
      <c r="B1382" s="176" t="str">
        <f>IF(AND(MONTH(E1382)='IN-NX'!$J$5,'IN-NX'!$D$7=(D1382&amp;"/"&amp;C1382)),"x","")</f>
        <v/>
      </c>
      <c r="C1382" s="173"/>
      <c r="D1382" s="173"/>
      <c r="E1382" s="70"/>
      <c r="F1382" s="62"/>
      <c r="G1382" s="19"/>
      <c r="H1382" s="178"/>
      <c r="I1382" s="57"/>
      <c r="J1382" s="15"/>
      <c r="K1382" s="15"/>
      <c r="L1382" s="15">
        <f t="shared" si="213"/>
        <v>0</v>
      </c>
      <c r="M1382" s="15"/>
      <c r="N1382" s="15">
        <f t="shared" si="214"/>
        <v>0</v>
      </c>
      <c r="O1382" s="15" t="str">
        <f>IF(AND(A1382='BANG KE NL'!$M$11,TH!C1382="NL",LEFT(D1382,1)="N"),"x","")</f>
        <v/>
      </c>
    </row>
    <row r="1383" spans="1:15" hidden="1">
      <c r="A1383" s="24" t="str">
        <f t="shared" si="215"/>
        <v/>
      </c>
      <c r="B1383" s="176" t="str">
        <f>IF(AND(MONTH(E1383)='IN-NX'!$J$5,'IN-NX'!$D$7=(D1383&amp;"/"&amp;C1383)),"x","")</f>
        <v/>
      </c>
      <c r="C1383" s="173"/>
      <c r="D1383" s="173"/>
      <c r="E1383" s="70"/>
      <c r="F1383" s="62"/>
      <c r="G1383" s="19"/>
      <c r="H1383" s="178"/>
      <c r="I1383" s="57"/>
      <c r="J1383" s="15"/>
      <c r="K1383" s="15"/>
      <c r="L1383" s="15">
        <f t="shared" si="213"/>
        <v>0</v>
      </c>
      <c r="M1383" s="15"/>
      <c r="N1383" s="15">
        <f t="shared" si="214"/>
        <v>0</v>
      </c>
      <c r="O1383" s="15" t="str">
        <f>IF(AND(A1383='BANG KE NL'!$M$11,TH!C1383="NL",LEFT(D1383,1)="N"),"x","")</f>
        <v/>
      </c>
    </row>
    <row r="1384" spans="1:15" hidden="1">
      <c r="A1384" s="24" t="str">
        <f t="shared" si="215"/>
        <v/>
      </c>
      <c r="B1384" s="176" t="str">
        <f>IF(AND(MONTH(E1384)='IN-NX'!$J$5,'IN-NX'!$D$7=(D1384&amp;"/"&amp;C1384)),"x","")</f>
        <v/>
      </c>
      <c r="C1384" s="173"/>
      <c r="D1384" s="173"/>
      <c r="E1384" s="70"/>
      <c r="F1384" s="62"/>
      <c r="G1384" s="19"/>
      <c r="H1384" s="178"/>
      <c r="I1384" s="57"/>
      <c r="J1384" s="15"/>
      <c r="K1384" s="15"/>
      <c r="L1384" s="15">
        <f t="shared" si="213"/>
        <v>0</v>
      </c>
      <c r="M1384" s="15"/>
      <c r="N1384" s="15">
        <f t="shared" si="214"/>
        <v>0</v>
      </c>
      <c r="O1384" s="15" t="str">
        <f>IF(AND(A1384='BANG KE NL'!$M$11,TH!C1384="NL",LEFT(D1384,1)="N"),"x","")</f>
        <v/>
      </c>
    </row>
    <row r="1385" spans="1:15" hidden="1">
      <c r="A1385" s="24" t="str">
        <f t="shared" si="215"/>
        <v/>
      </c>
      <c r="B1385" s="176" t="str">
        <f>IF(AND(MONTH(E1385)='IN-NX'!$J$5,'IN-NX'!$D$7=(D1385&amp;"/"&amp;C1385)),"x","")</f>
        <v/>
      </c>
      <c r="C1385" s="173"/>
      <c r="D1385" s="173"/>
      <c r="E1385" s="70"/>
      <c r="F1385" s="62"/>
      <c r="G1385" s="19"/>
      <c r="H1385" s="178"/>
      <c r="I1385" s="57"/>
      <c r="J1385" s="15"/>
      <c r="K1385" s="15"/>
      <c r="L1385" s="15">
        <f t="shared" si="213"/>
        <v>0</v>
      </c>
      <c r="M1385" s="15"/>
      <c r="N1385" s="15">
        <f t="shared" si="214"/>
        <v>0</v>
      </c>
      <c r="O1385" s="15" t="str">
        <f>IF(AND(A1385='BANG KE NL'!$M$11,TH!C1385="NL",LEFT(D1385,1)="N"),"x","")</f>
        <v/>
      </c>
    </row>
    <row r="1386" spans="1:15" hidden="1">
      <c r="A1386" s="24" t="str">
        <f t="shared" si="215"/>
        <v/>
      </c>
      <c r="B1386" s="176" t="str">
        <f>IF(AND(MONTH(E1386)='IN-NX'!$J$5,'IN-NX'!$D$7=(D1386&amp;"/"&amp;C1386)),"x","")</f>
        <v/>
      </c>
      <c r="C1386" s="173"/>
      <c r="D1386" s="173"/>
      <c r="E1386" s="70"/>
      <c r="F1386" s="62"/>
      <c r="G1386" s="19"/>
      <c r="H1386" s="178"/>
      <c r="I1386" s="57"/>
      <c r="J1386" s="15"/>
      <c r="K1386" s="15"/>
      <c r="L1386" s="15">
        <f t="shared" si="213"/>
        <v>0</v>
      </c>
      <c r="M1386" s="15"/>
      <c r="N1386" s="15">
        <f t="shared" si="214"/>
        <v>0</v>
      </c>
      <c r="O1386" s="15" t="str">
        <f>IF(AND(A1386='BANG KE NL'!$M$11,TH!C1386="NL",LEFT(D1386,1)="N"),"x","")</f>
        <v/>
      </c>
    </row>
    <row r="1387" spans="1:15" hidden="1">
      <c r="A1387" s="24" t="str">
        <f t="shared" si="215"/>
        <v/>
      </c>
      <c r="B1387" s="176" t="str">
        <f>IF(AND(MONTH(E1387)='IN-NX'!$J$5,'IN-NX'!$D$7=(D1387&amp;"/"&amp;C1387)),"x","")</f>
        <v/>
      </c>
      <c r="C1387" s="173"/>
      <c r="D1387" s="173"/>
      <c r="E1387" s="70"/>
      <c r="F1387" s="62"/>
      <c r="G1387" s="19"/>
      <c r="H1387" s="178"/>
      <c r="I1387" s="57"/>
      <c r="J1387" s="15"/>
      <c r="K1387" s="15"/>
      <c r="L1387" s="15">
        <f t="shared" si="213"/>
        <v>0</v>
      </c>
      <c r="M1387" s="15"/>
      <c r="N1387" s="15">
        <f t="shared" si="214"/>
        <v>0</v>
      </c>
      <c r="O1387" s="15" t="str">
        <f>IF(AND(A1387='BANG KE NL'!$M$11,TH!C1387="NL",LEFT(D1387,1)="N"),"x","")</f>
        <v/>
      </c>
    </row>
    <row r="1388" spans="1:15" hidden="1">
      <c r="A1388" s="24" t="str">
        <f t="shared" si="215"/>
        <v/>
      </c>
      <c r="B1388" s="176" t="str">
        <f>IF(AND(MONTH(E1388)='IN-NX'!$J$5,'IN-NX'!$D$7=(D1388&amp;"/"&amp;C1388)),"x","")</f>
        <v/>
      </c>
      <c r="C1388" s="173"/>
      <c r="D1388" s="173"/>
      <c r="E1388" s="70"/>
      <c r="F1388" s="62"/>
      <c r="G1388" s="19"/>
      <c r="H1388" s="178"/>
      <c r="I1388" s="57"/>
      <c r="J1388" s="15"/>
      <c r="K1388" s="15"/>
      <c r="L1388" s="15">
        <f t="shared" si="213"/>
        <v>0</v>
      </c>
      <c r="M1388" s="15"/>
      <c r="N1388" s="15">
        <f t="shared" si="214"/>
        <v>0</v>
      </c>
      <c r="O1388" s="15" t="str">
        <f>IF(AND(A1388='BANG KE NL'!$M$11,TH!C1388="NL",LEFT(D1388,1)="N"),"x","")</f>
        <v/>
      </c>
    </row>
    <row r="1389" spans="1:15" hidden="1">
      <c r="A1389" s="24" t="str">
        <f t="shared" si="215"/>
        <v/>
      </c>
      <c r="B1389" s="176" t="str">
        <f>IF(AND(MONTH(E1389)='IN-NX'!$J$5,'IN-NX'!$D$7=(D1389&amp;"/"&amp;C1389)),"x","")</f>
        <v/>
      </c>
      <c r="C1389" s="173"/>
      <c r="D1389" s="173"/>
      <c r="E1389" s="70"/>
      <c r="F1389" s="62"/>
      <c r="G1389" s="19"/>
      <c r="H1389" s="178"/>
      <c r="I1389" s="57"/>
      <c r="J1389" s="15"/>
      <c r="K1389" s="15"/>
      <c r="L1389" s="15">
        <f t="shared" ref="L1389:L1447" si="216">ROUND(J1389*K1389,0)</f>
        <v>0</v>
      </c>
      <c r="M1389" s="15"/>
      <c r="N1389" s="15">
        <f t="shared" ref="N1389:N1447" si="217">ROUND(J1389*M1389,0)</f>
        <v>0</v>
      </c>
      <c r="O1389" s="15" t="str">
        <f>IF(AND(A1389='BANG KE NL'!$M$11,TH!C1389="NL",LEFT(D1389,1)="N"),"x","")</f>
        <v/>
      </c>
    </row>
    <row r="1390" spans="1:15" hidden="1">
      <c r="A1390" s="24" t="str">
        <f t="shared" si="215"/>
        <v/>
      </c>
      <c r="B1390" s="176" t="str">
        <f>IF(AND(MONTH(E1390)='IN-NX'!$J$5,'IN-NX'!$D$7=(D1390&amp;"/"&amp;C1390)),"x","")</f>
        <v/>
      </c>
      <c r="C1390" s="173"/>
      <c r="D1390" s="173"/>
      <c r="E1390" s="70"/>
      <c r="F1390" s="62"/>
      <c r="G1390" s="19"/>
      <c r="H1390" s="178"/>
      <c r="I1390" s="57"/>
      <c r="J1390" s="15"/>
      <c r="K1390" s="15"/>
      <c r="L1390" s="15">
        <f t="shared" si="216"/>
        <v>0</v>
      </c>
      <c r="M1390" s="15"/>
      <c r="N1390" s="15">
        <f t="shared" si="217"/>
        <v>0</v>
      </c>
      <c r="O1390" s="15" t="str">
        <f>IF(AND(A1390='BANG KE NL'!$M$11,TH!C1390="NL",LEFT(D1390,1)="N"),"x","")</f>
        <v/>
      </c>
    </row>
    <row r="1391" spans="1:15" hidden="1">
      <c r="A1391" s="24" t="str">
        <f t="shared" si="215"/>
        <v/>
      </c>
      <c r="B1391" s="176" t="str">
        <f>IF(AND(MONTH(E1391)='IN-NX'!$J$5,'IN-NX'!$D$7=(D1391&amp;"/"&amp;C1391)),"x","")</f>
        <v/>
      </c>
      <c r="C1391" s="173"/>
      <c r="D1391" s="173"/>
      <c r="E1391" s="70"/>
      <c r="F1391" s="62"/>
      <c r="G1391" s="19"/>
      <c r="H1391" s="178"/>
      <c r="I1391" s="57"/>
      <c r="J1391" s="15"/>
      <c r="K1391" s="15"/>
      <c r="L1391" s="15">
        <f t="shared" si="216"/>
        <v>0</v>
      </c>
      <c r="M1391" s="15"/>
      <c r="N1391" s="15">
        <f t="shared" si="217"/>
        <v>0</v>
      </c>
      <c r="O1391" s="15" t="str">
        <f>IF(AND(A1391='BANG KE NL'!$M$11,TH!C1391="NL",LEFT(D1391,1)="N"),"x","")</f>
        <v/>
      </c>
    </row>
    <row r="1392" spans="1:15" hidden="1">
      <c r="A1392" s="24" t="str">
        <f t="shared" si="215"/>
        <v/>
      </c>
      <c r="B1392" s="176" t="str">
        <f>IF(AND(MONTH(E1392)='IN-NX'!$J$5,'IN-NX'!$D$7=(D1392&amp;"/"&amp;C1392)),"x","")</f>
        <v/>
      </c>
      <c r="C1392" s="173"/>
      <c r="D1392" s="173"/>
      <c r="E1392" s="70"/>
      <c r="F1392" s="62"/>
      <c r="G1392" s="19"/>
      <c r="H1392" s="178"/>
      <c r="I1392" s="57"/>
      <c r="J1392" s="15"/>
      <c r="K1392" s="15"/>
      <c r="L1392" s="15">
        <f t="shared" si="216"/>
        <v>0</v>
      </c>
      <c r="M1392" s="15"/>
      <c r="N1392" s="15">
        <f t="shared" si="217"/>
        <v>0</v>
      </c>
      <c r="O1392" s="15" t="str">
        <f>IF(AND(A1392='BANG KE NL'!$M$11,TH!C1392="NL",LEFT(D1392,1)="N"),"x","")</f>
        <v/>
      </c>
    </row>
    <row r="1393" spans="1:15" hidden="1">
      <c r="A1393" s="24" t="str">
        <f t="shared" si="215"/>
        <v/>
      </c>
      <c r="B1393" s="176" t="str">
        <f>IF(AND(MONTH(E1393)='IN-NX'!$J$5,'IN-NX'!$D$7=(D1393&amp;"/"&amp;C1393)),"x","")</f>
        <v/>
      </c>
      <c r="C1393" s="173"/>
      <c r="D1393" s="173"/>
      <c r="E1393" s="70"/>
      <c r="F1393" s="62"/>
      <c r="G1393" s="19"/>
      <c r="H1393" s="178"/>
      <c r="I1393" s="57"/>
      <c r="J1393" s="15"/>
      <c r="K1393" s="15"/>
      <c r="L1393" s="15">
        <f t="shared" si="216"/>
        <v>0</v>
      </c>
      <c r="M1393" s="15"/>
      <c r="N1393" s="15">
        <f t="shared" si="217"/>
        <v>0</v>
      </c>
      <c r="O1393" s="15" t="str">
        <f>IF(AND(A1393='BANG KE NL'!$M$11,TH!C1393="NL",LEFT(D1393,1)="N"),"x","")</f>
        <v/>
      </c>
    </row>
    <row r="1394" spans="1:15" hidden="1">
      <c r="A1394" s="24" t="str">
        <f t="shared" si="215"/>
        <v/>
      </c>
      <c r="B1394" s="176" t="str">
        <f>IF(AND(MONTH(E1394)='IN-NX'!$J$5,'IN-NX'!$D$7=(D1394&amp;"/"&amp;C1394)),"x","")</f>
        <v/>
      </c>
      <c r="C1394" s="173"/>
      <c r="D1394" s="173"/>
      <c r="E1394" s="70"/>
      <c r="F1394" s="62"/>
      <c r="G1394" s="19"/>
      <c r="H1394" s="178"/>
      <c r="I1394" s="57"/>
      <c r="J1394" s="15"/>
      <c r="K1394" s="15"/>
      <c r="L1394" s="15">
        <f t="shared" si="216"/>
        <v>0</v>
      </c>
      <c r="M1394" s="15"/>
      <c r="N1394" s="15">
        <f t="shared" si="217"/>
        <v>0</v>
      </c>
      <c r="O1394" s="15" t="str">
        <f>IF(AND(A1394='BANG KE NL'!$M$11,TH!C1394="NL",LEFT(D1394,1)="N"),"x","")</f>
        <v/>
      </c>
    </row>
    <row r="1395" spans="1:15" hidden="1">
      <c r="A1395" s="24" t="str">
        <f t="shared" si="215"/>
        <v/>
      </c>
      <c r="B1395" s="176" t="str">
        <f>IF(AND(MONTH(E1395)='IN-NX'!$J$5,'IN-NX'!$D$7=(D1395&amp;"/"&amp;C1395)),"x","")</f>
        <v/>
      </c>
      <c r="C1395" s="173"/>
      <c r="D1395" s="173"/>
      <c r="E1395" s="70"/>
      <c r="F1395" s="62"/>
      <c r="G1395" s="19"/>
      <c r="H1395" s="178"/>
      <c r="I1395" s="57"/>
      <c r="J1395" s="15"/>
      <c r="K1395" s="15"/>
      <c r="L1395" s="15">
        <f t="shared" si="216"/>
        <v>0</v>
      </c>
      <c r="M1395" s="15"/>
      <c r="N1395" s="15">
        <f t="shared" si="217"/>
        <v>0</v>
      </c>
      <c r="O1395" s="15" t="str">
        <f>IF(AND(A1395='BANG KE NL'!$M$11,TH!C1395="NL",LEFT(D1395,1)="N"),"x","")</f>
        <v/>
      </c>
    </row>
    <row r="1396" spans="1:15" hidden="1">
      <c r="A1396" s="24" t="str">
        <f t="shared" si="215"/>
        <v/>
      </c>
      <c r="B1396" s="176" t="str">
        <f>IF(AND(MONTH(E1396)='IN-NX'!$J$5,'IN-NX'!$D$7=(D1396&amp;"/"&amp;C1396)),"x","")</f>
        <v/>
      </c>
      <c r="C1396" s="173"/>
      <c r="D1396" s="173"/>
      <c r="E1396" s="70"/>
      <c r="F1396" s="62"/>
      <c r="G1396" s="19"/>
      <c r="H1396" s="178"/>
      <c r="I1396" s="57"/>
      <c r="J1396" s="15"/>
      <c r="K1396" s="15"/>
      <c r="L1396" s="15">
        <f t="shared" si="216"/>
        <v>0</v>
      </c>
      <c r="M1396" s="15"/>
      <c r="N1396" s="15">
        <f t="shared" si="217"/>
        <v>0</v>
      </c>
      <c r="O1396" s="15" t="str">
        <f>IF(AND(A1396='BANG KE NL'!$M$11,TH!C1396="NL",LEFT(D1396,1)="N"),"x","")</f>
        <v/>
      </c>
    </row>
    <row r="1397" spans="1:15" hidden="1">
      <c r="A1397" s="24" t="str">
        <f t="shared" si="215"/>
        <v/>
      </c>
      <c r="B1397" s="176" t="str">
        <f>IF(AND(MONTH(E1397)='IN-NX'!$J$5,'IN-NX'!$D$7=(D1397&amp;"/"&amp;C1397)),"x","")</f>
        <v/>
      </c>
      <c r="C1397" s="173"/>
      <c r="D1397" s="173"/>
      <c r="E1397" s="70"/>
      <c r="F1397" s="62"/>
      <c r="G1397" s="19"/>
      <c r="H1397" s="178"/>
      <c r="I1397" s="57"/>
      <c r="J1397" s="15"/>
      <c r="K1397" s="15"/>
      <c r="L1397" s="15">
        <f t="shared" si="216"/>
        <v>0</v>
      </c>
      <c r="M1397" s="15"/>
      <c r="N1397" s="15">
        <f t="shared" si="217"/>
        <v>0</v>
      </c>
      <c r="O1397" s="15" t="str">
        <f>IF(AND(A1397='BANG KE NL'!$M$11,TH!C1397="NL",LEFT(D1397,1)="N"),"x","")</f>
        <v/>
      </c>
    </row>
    <row r="1398" spans="1:15" hidden="1">
      <c r="A1398" s="24" t="str">
        <f t="shared" si="215"/>
        <v/>
      </c>
      <c r="B1398" s="176" t="str">
        <f>IF(AND(MONTH(E1398)='IN-NX'!$J$5,'IN-NX'!$D$7=(D1398&amp;"/"&amp;C1398)),"x","")</f>
        <v/>
      </c>
      <c r="C1398" s="173"/>
      <c r="D1398" s="173"/>
      <c r="E1398" s="70"/>
      <c r="F1398" s="62"/>
      <c r="G1398" s="19"/>
      <c r="H1398" s="178"/>
      <c r="I1398" s="57"/>
      <c r="J1398" s="15"/>
      <c r="K1398" s="15"/>
      <c r="L1398" s="15">
        <f t="shared" si="216"/>
        <v>0</v>
      </c>
      <c r="M1398" s="15"/>
      <c r="N1398" s="15">
        <f t="shared" si="217"/>
        <v>0</v>
      </c>
      <c r="O1398" s="15" t="str">
        <f>IF(AND(A1398='BANG KE NL'!$M$11,TH!C1398="NL",LEFT(D1398,1)="N"),"x","")</f>
        <v/>
      </c>
    </row>
    <row r="1399" spans="1:15" hidden="1">
      <c r="A1399" s="24" t="str">
        <f t="shared" si="215"/>
        <v/>
      </c>
      <c r="B1399" s="176" t="str">
        <f>IF(AND(MONTH(E1399)='IN-NX'!$J$5,'IN-NX'!$D$7=(D1399&amp;"/"&amp;C1399)),"x","")</f>
        <v/>
      </c>
      <c r="C1399" s="173"/>
      <c r="D1399" s="173"/>
      <c r="E1399" s="70"/>
      <c r="F1399" s="62"/>
      <c r="G1399" s="19"/>
      <c r="H1399" s="178"/>
      <c r="I1399" s="57"/>
      <c r="J1399" s="15"/>
      <c r="K1399" s="15"/>
      <c r="L1399" s="15">
        <f t="shared" si="216"/>
        <v>0</v>
      </c>
      <c r="M1399" s="15"/>
      <c r="N1399" s="15">
        <f t="shared" si="217"/>
        <v>0</v>
      </c>
      <c r="O1399" s="15" t="str">
        <f>IF(AND(A1399='BANG KE NL'!$M$11,TH!C1399="NL",LEFT(D1399,1)="N"),"x","")</f>
        <v/>
      </c>
    </row>
    <row r="1400" spans="1:15" hidden="1">
      <c r="A1400" s="24" t="str">
        <f t="shared" si="215"/>
        <v/>
      </c>
      <c r="B1400" s="176" t="str">
        <f>IF(AND(MONTH(E1400)='IN-NX'!$J$5,'IN-NX'!$D$7=(D1400&amp;"/"&amp;C1400)),"x","")</f>
        <v/>
      </c>
      <c r="C1400" s="173"/>
      <c r="D1400" s="173"/>
      <c r="E1400" s="70"/>
      <c r="F1400" s="62"/>
      <c r="G1400" s="19"/>
      <c r="H1400" s="178"/>
      <c r="I1400" s="57"/>
      <c r="J1400" s="15"/>
      <c r="K1400" s="15"/>
      <c r="L1400" s="15">
        <f t="shared" si="216"/>
        <v>0</v>
      </c>
      <c r="M1400" s="15"/>
      <c r="N1400" s="15">
        <f t="shared" si="217"/>
        <v>0</v>
      </c>
      <c r="O1400" s="15" t="str">
        <f>IF(AND(A1400='BANG KE NL'!$M$11,TH!C1400="NL",LEFT(D1400,1)="N"),"x","")</f>
        <v/>
      </c>
    </row>
    <row r="1401" spans="1:15" hidden="1">
      <c r="A1401" s="24" t="str">
        <f t="shared" si="215"/>
        <v/>
      </c>
      <c r="B1401" s="176" t="str">
        <f>IF(AND(MONTH(E1401)='IN-NX'!$J$5,'IN-NX'!$D$7=(D1401&amp;"/"&amp;C1401)),"x","")</f>
        <v/>
      </c>
      <c r="C1401" s="173"/>
      <c r="D1401" s="173"/>
      <c r="E1401" s="70"/>
      <c r="F1401" s="62"/>
      <c r="G1401" s="19"/>
      <c r="H1401" s="178"/>
      <c r="I1401" s="57"/>
      <c r="J1401" s="15"/>
      <c r="K1401" s="15"/>
      <c r="L1401" s="15">
        <f t="shared" si="216"/>
        <v>0</v>
      </c>
      <c r="M1401" s="15"/>
      <c r="N1401" s="15">
        <f t="shared" si="217"/>
        <v>0</v>
      </c>
      <c r="O1401" s="15" t="str">
        <f>IF(AND(A1401='BANG KE NL'!$M$11,TH!C1401="NL",LEFT(D1401,1)="N"),"x","")</f>
        <v/>
      </c>
    </row>
    <row r="1402" spans="1:15" hidden="1">
      <c r="A1402" s="24" t="str">
        <f t="shared" si="215"/>
        <v/>
      </c>
      <c r="B1402" s="176" t="str">
        <f>IF(AND(MONTH(E1402)='IN-NX'!$J$5,'IN-NX'!$D$7=(D1402&amp;"/"&amp;C1402)),"x","")</f>
        <v/>
      </c>
      <c r="C1402" s="173"/>
      <c r="D1402" s="173"/>
      <c r="E1402" s="70"/>
      <c r="F1402" s="62"/>
      <c r="G1402" s="19"/>
      <c r="H1402" s="178"/>
      <c r="I1402" s="57"/>
      <c r="J1402" s="15"/>
      <c r="K1402" s="15"/>
      <c r="L1402" s="15">
        <f t="shared" si="216"/>
        <v>0</v>
      </c>
      <c r="M1402" s="15"/>
      <c r="N1402" s="15">
        <f t="shared" si="217"/>
        <v>0</v>
      </c>
      <c r="O1402" s="15" t="str">
        <f>IF(AND(A1402='BANG KE NL'!$M$11,TH!C1402="NL",LEFT(D1402,1)="N"),"x","")</f>
        <v/>
      </c>
    </row>
    <row r="1403" spans="1:15" hidden="1">
      <c r="A1403" s="24" t="str">
        <f t="shared" si="215"/>
        <v/>
      </c>
      <c r="B1403" s="176" t="str">
        <f>IF(AND(MONTH(E1403)='IN-NX'!$J$5,'IN-NX'!$D$7=(D1403&amp;"/"&amp;C1403)),"x","")</f>
        <v/>
      </c>
      <c r="C1403" s="173"/>
      <c r="D1403" s="173"/>
      <c r="E1403" s="70"/>
      <c r="F1403" s="62"/>
      <c r="G1403" s="19"/>
      <c r="H1403" s="178"/>
      <c r="I1403" s="57"/>
      <c r="J1403" s="15"/>
      <c r="K1403" s="15"/>
      <c r="L1403" s="15">
        <f t="shared" si="216"/>
        <v>0</v>
      </c>
      <c r="M1403" s="15"/>
      <c r="N1403" s="15">
        <f t="shared" si="217"/>
        <v>0</v>
      </c>
      <c r="O1403" s="15" t="str">
        <f>IF(AND(A1403='BANG KE NL'!$M$11,TH!C1403="NL",LEFT(D1403,1)="N"),"x","")</f>
        <v/>
      </c>
    </row>
    <row r="1404" spans="1:15" hidden="1">
      <c r="A1404" s="24" t="str">
        <f t="shared" si="215"/>
        <v/>
      </c>
      <c r="B1404" s="176" t="str">
        <f>IF(AND(MONTH(E1404)='IN-NX'!$J$5,'IN-NX'!$D$7=(D1404&amp;"/"&amp;C1404)),"x","")</f>
        <v/>
      </c>
      <c r="C1404" s="173"/>
      <c r="D1404" s="173"/>
      <c r="E1404" s="70"/>
      <c r="F1404" s="62"/>
      <c r="G1404" s="19"/>
      <c r="H1404" s="178"/>
      <c r="I1404" s="57"/>
      <c r="J1404" s="15"/>
      <c r="K1404" s="15"/>
      <c r="L1404" s="15">
        <f t="shared" si="216"/>
        <v>0</v>
      </c>
      <c r="M1404" s="15"/>
      <c r="N1404" s="15">
        <f t="shared" si="217"/>
        <v>0</v>
      </c>
      <c r="O1404" s="15" t="str">
        <f>IF(AND(A1404='BANG KE NL'!$M$11,TH!C1404="NL",LEFT(D1404,1)="N"),"x","")</f>
        <v/>
      </c>
    </row>
    <row r="1405" spans="1:15" hidden="1">
      <c r="A1405" s="24" t="str">
        <f t="shared" si="215"/>
        <v/>
      </c>
      <c r="B1405" s="176" t="str">
        <f>IF(AND(MONTH(E1405)='IN-NX'!$J$5,'IN-NX'!$D$7=(D1405&amp;"/"&amp;C1405)),"x","")</f>
        <v/>
      </c>
      <c r="C1405" s="173"/>
      <c r="D1405" s="173"/>
      <c r="E1405" s="70"/>
      <c r="F1405" s="62"/>
      <c r="G1405" s="19"/>
      <c r="H1405" s="178"/>
      <c r="I1405" s="57"/>
      <c r="J1405" s="15"/>
      <c r="K1405" s="15"/>
      <c r="L1405" s="15">
        <f t="shared" si="216"/>
        <v>0</v>
      </c>
      <c r="M1405" s="15"/>
      <c r="N1405" s="15">
        <f t="shared" si="217"/>
        <v>0</v>
      </c>
      <c r="O1405" s="15" t="str">
        <f>IF(AND(A1405='BANG KE NL'!$M$11,TH!C1405="NL",LEFT(D1405,1)="N"),"x","")</f>
        <v/>
      </c>
    </row>
    <row r="1406" spans="1:15" hidden="1">
      <c r="A1406" s="24" t="str">
        <f t="shared" si="215"/>
        <v/>
      </c>
      <c r="B1406" s="176" t="str">
        <f>IF(AND(MONTH(E1406)='IN-NX'!$J$5,'IN-NX'!$D$7=(D1406&amp;"/"&amp;C1406)),"x","")</f>
        <v/>
      </c>
      <c r="C1406" s="173"/>
      <c r="D1406" s="173"/>
      <c r="E1406" s="70"/>
      <c r="F1406" s="62"/>
      <c r="G1406" s="19"/>
      <c r="H1406" s="178"/>
      <c r="I1406" s="57"/>
      <c r="J1406" s="15"/>
      <c r="K1406" s="15"/>
      <c r="L1406" s="15">
        <f t="shared" si="216"/>
        <v>0</v>
      </c>
      <c r="M1406" s="15"/>
      <c r="N1406" s="15">
        <f t="shared" si="217"/>
        <v>0</v>
      </c>
      <c r="O1406" s="15" t="str">
        <f>IF(AND(A1406='BANG KE NL'!$M$11,TH!C1406="NL",LEFT(D1406,1)="N"),"x","")</f>
        <v/>
      </c>
    </row>
    <row r="1407" spans="1:15" hidden="1">
      <c r="A1407" s="24" t="str">
        <f t="shared" si="215"/>
        <v/>
      </c>
      <c r="B1407" s="176" t="str">
        <f>IF(AND(MONTH(E1407)='IN-NX'!$J$5,'IN-NX'!$D$7=(D1407&amp;"/"&amp;C1407)),"x","")</f>
        <v/>
      </c>
      <c r="C1407" s="173"/>
      <c r="D1407" s="173"/>
      <c r="E1407" s="70"/>
      <c r="F1407" s="62"/>
      <c r="G1407" s="19"/>
      <c r="H1407" s="178"/>
      <c r="I1407" s="57"/>
      <c r="J1407" s="15"/>
      <c r="K1407" s="15"/>
      <c r="L1407" s="15">
        <f t="shared" si="216"/>
        <v>0</v>
      </c>
      <c r="M1407" s="15"/>
      <c r="N1407" s="15">
        <f t="shared" si="217"/>
        <v>0</v>
      </c>
      <c r="O1407" s="15" t="str">
        <f>IF(AND(A1407='BANG KE NL'!$M$11,TH!C1407="NL",LEFT(D1407,1)="N"),"x","")</f>
        <v/>
      </c>
    </row>
    <row r="1408" spans="1:15" hidden="1">
      <c r="A1408" s="24" t="str">
        <f t="shared" si="215"/>
        <v/>
      </c>
      <c r="B1408" s="176" t="str">
        <f>IF(AND(MONTH(E1408)='IN-NX'!$J$5,'IN-NX'!$D$7=(D1408&amp;"/"&amp;C1408)),"x","")</f>
        <v/>
      </c>
      <c r="C1408" s="173"/>
      <c r="D1408" s="173"/>
      <c r="E1408" s="70"/>
      <c r="F1408" s="62"/>
      <c r="G1408" s="19"/>
      <c r="H1408" s="178"/>
      <c r="I1408" s="57"/>
      <c r="J1408" s="15"/>
      <c r="K1408" s="15"/>
      <c r="L1408" s="15">
        <f t="shared" si="216"/>
        <v>0</v>
      </c>
      <c r="M1408" s="15"/>
      <c r="N1408" s="15">
        <f t="shared" si="217"/>
        <v>0</v>
      </c>
      <c r="O1408" s="15" t="str">
        <f>IF(AND(A1408='BANG KE NL'!$M$11,TH!C1408="NL",LEFT(D1408,1)="N"),"x","")</f>
        <v/>
      </c>
    </row>
    <row r="1409" spans="1:15" hidden="1">
      <c r="A1409" s="24" t="str">
        <f t="shared" si="215"/>
        <v/>
      </c>
      <c r="B1409" s="176" t="str">
        <f>IF(AND(MONTH(E1409)='IN-NX'!$J$5,'IN-NX'!$D$7=(D1409&amp;"/"&amp;C1409)),"x","")</f>
        <v/>
      </c>
      <c r="C1409" s="173"/>
      <c r="D1409" s="173"/>
      <c r="E1409" s="70"/>
      <c r="F1409" s="62"/>
      <c r="G1409" s="19"/>
      <c r="H1409" s="178"/>
      <c r="I1409" s="57"/>
      <c r="J1409" s="15"/>
      <c r="K1409" s="15"/>
      <c r="L1409" s="15">
        <f t="shared" si="216"/>
        <v>0</v>
      </c>
      <c r="M1409" s="15"/>
      <c r="N1409" s="15">
        <f t="shared" si="217"/>
        <v>0</v>
      </c>
      <c r="O1409" s="15" t="str">
        <f>IF(AND(A1409='BANG KE NL'!$M$11,TH!C1409="NL",LEFT(D1409,1)="N"),"x","")</f>
        <v/>
      </c>
    </row>
    <row r="1410" spans="1:15" hidden="1">
      <c r="A1410" s="24" t="str">
        <f t="shared" si="215"/>
        <v/>
      </c>
      <c r="B1410" s="176" t="str">
        <f>IF(AND(MONTH(E1410)='IN-NX'!$J$5,'IN-NX'!$D$7=(D1410&amp;"/"&amp;C1410)),"x","")</f>
        <v/>
      </c>
      <c r="C1410" s="173"/>
      <c r="D1410" s="173"/>
      <c r="E1410" s="70"/>
      <c r="F1410" s="62"/>
      <c r="G1410" s="19"/>
      <c r="H1410" s="178"/>
      <c r="I1410" s="57"/>
      <c r="J1410" s="15"/>
      <c r="K1410" s="15"/>
      <c r="L1410" s="15">
        <f t="shared" si="216"/>
        <v>0</v>
      </c>
      <c r="M1410" s="15"/>
      <c r="N1410" s="15">
        <f t="shared" si="217"/>
        <v>0</v>
      </c>
      <c r="O1410" s="15" t="str">
        <f>IF(AND(A1410='BANG KE NL'!$M$11,TH!C1410="NL",LEFT(D1410,1)="N"),"x","")</f>
        <v/>
      </c>
    </row>
    <row r="1411" spans="1:15" hidden="1">
      <c r="A1411" s="24" t="str">
        <f t="shared" si="215"/>
        <v/>
      </c>
      <c r="B1411" s="176" t="str">
        <f>IF(AND(MONTH(E1411)='IN-NX'!$J$5,'IN-NX'!$D$7=(D1411&amp;"/"&amp;C1411)),"x","")</f>
        <v/>
      </c>
      <c r="C1411" s="173"/>
      <c r="D1411" s="173"/>
      <c r="E1411" s="70"/>
      <c r="F1411" s="62"/>
      <c r="G1411" s="19"/>
      <c r="H1411" s="178"/>
      <c r="I1411" s="57"/>
      <c r="J1411" s="15"/>
      <c r="K1411" s="15"/>
      <c r="L1411" s="15">
        <f t="shared" si="216"/>
        <v>0</v>
      </c>
      <c r="M1411" s="15"/>
      <c r="N1411" s="15">
        <f t="shared" si="217"/>
        <v>0</v>
      </c>
      <c r="O1411" s="15" t="str">
        <f>IF(AND(A1411='BANG KE NL'!$M$11,TH!C1411="NL",LEFT(D1411,1)="N"),"x","")</f>
        <v/>
      </c>
    </row>
    <row r="1412" spans="1:15" hidden="1">
      <c r="A1412" s="24" t="str">
        <f t="shared" si="215"/>
        <v/>
      </c>
      <c r="B1412" s="176" t="str">
        <f>IF(AND(MONTH(E1412)='IN-NX'!$J$5,'IN-NX'!$D$7=(D1412&amp;"/"&amp;C1412)),"x","")</f>
        <v/>
      </c>
      <c r="C1412" s="173"/>
      <c r="D1412" s="173"/>
      <c r="E1412" s="70"/>
      <c r="F1412" s="62"/>
      <c r="G1412" s="19"/>
      <c r="H1412" s="178"/>
      <c r="I1412" s="57"/>
      <c r="J1412" s="15"/>
      <c r="K1412" s="15"/>
      <c r="L1412" s="15">
        <f t="shared" si="216"/>
        <v>0</v>
      </c>
      <c r="M1412" s="15"/>
      <c r="N1412" s="15">
        <f t="shared" si="217"/>
        <v>0</v>
      </c>
      <c r="O1412" s="15" t="str">
        <f>IF(AND(A1412='BANG KE NL'!$M$11,TH!C1412="NL",LEFT(D1412,1)="N"),"x","")</f>
        <v/>
      </c>
    </row>
    <row r="1413" spans="1:15" hidden="1">
      <c r="A1413" s="24" t="str">
        <f t="shared" si="215"/>
        <v/>
      </c>
      <c r="B1413" s="176" t="str">
        <f>IF(AND(MONTH(E1413)='IN-NX'!$J$5,'IN-NX'!$D$7=(D1413&amp;"/"&amp;C1413)),"x","")</f>
        <v/>
      </c>
      <c r="C1413" s="173"/>
      <c r="D1413" s="173"/>
      <c r="E1413" s="70"/>
      <c r="F1413" s="62"/>
      <c r="G1413" s="19"/>
      <c r="H1413" s="178"/>
      <c r="I1413" s="57"/>
      <c r="J1413" s="15"/>
      <c r="K1413" s="15"/>
      <c r="L1413" s="15">
        <f t="shared" si="216"/>
        <v>0</v>
      </c>
      <c r="M1413" s="15"/>
      <c r="N1413" s="15">
        <f t="shared" si="217"/>
        <v>0</v>
      </c>
      <c r="O1413" s="15" t="str">
        <f>IF(AND(A1413='BANG KE NL'!$M$11,TH!C1413="NL",LEFT(D1413,1)="N"),"x","")</f>
        <v/>
      </c>
    </row>
    <row r="1414" spans="1:15" hidden="1">
      <c r="A1414" s="24" t="str">
        <f t="shared" si="215"/>
        <v/>
      </c>
      <c r="B1414" s="176" t="str">
        <f>IF(AND(MONTH(E1414)='IN-NX'!$J$5,'IN-NX'!$D$7=(D1414&amp;"/"&amp;C1414)),"x","")</f>
        <v/>
      </c>
      <c r="C1414" s="173"/>
      <c r="D1414" s="173"/>
      <c r="E1414" s="70"/>
      <c r="F1414" s="62"/>
      <c r="G1414" s="19"/>
      <c r="H1414" s="178"/>
      <c r="I1414" s="57"/>
      <c r="J1414" s="15"/>
      <c r="K1414" s="15"/>
      <c r="L1414" s="15">
        <f t="shared" si="216"/>
        <v>0</v>
      </c>
      <c r="M1414" s="15"/>
      <c r="N1414" s="15">
        <f t="shared" si="217"/>
        <v>0</v>
      </c>
      <c r="O1414" s="15" t="str">
        <f>IF(AND(A1414='BANG KE NL'!$M$11,TH!C1414="NL",LEFT(D1414,1)="N"),"x","")</f>
        <v/>
      </c>
    </row>
    <row r="1415" spans="1:15" hidden="1">
      <c r="A1415" s="24" t="str">
        <f t="shared" si="215"/>
        <v/>
      </c>
      <c r="B1415" s="176" t="str">
        <f>IF(AND(MONTH(E1415)='IN-NX'!$J$5,'IN-NX'!$D$7=(D1415&amp;"/"&amp;C1415)),"x","")</f>
        <v/>
      </c>
      <c r="C1415" s="173"/>
      <c r="D1415" s="173"/>
      <c r="E1415" s="70"/>
      <c r="F1415" s="62"/>
      <c r="G1415" s="19"/>
      <c r="H1415" s="178"/>
      <c r="I1415" s="57"/>
      <c r="J1415" s="15"/>
      <c r="K1415" s="15"/>
      <c r="L1415" s="15">
        <f t="shared" si="216"/>
        <v>0</v>
      </c>
      <c r="M1415" s="15"/>
      <c r="N1415" s="15">
        <f t="shared" si="217"/>
        <v>0</v>
      </c>
      <c r="O1415" s="15" t="str">
        <f>IF(AND(A1415='BANG KE NL'!$M$11,TH!C1415="NL",LEFT(D1415,1)="N"),"x","")</f>
        <v/>
      </c>
    </row>
    <row r="1416" spans="1:15" hidden="1">
      <c r="A1416" s="24" t="str">
        <f t="shared" si="215"/>
        <v/>
      </c>
      <c r="B1416" s="176" t="str">
        <f>IF(AND(MONTH(E1416)='IN-NX'!$J$5,'IN-NX'!$D$7=(D1416&amp;"/"&amp;C1416)),"x","")</f>
        <v/>
      </c>
      <c r="C1416" s="173"/>
      <c r="D1416" s="173"/>
      <c r="E1416" s="70"/>
      <c r="F1416" s="62"/>
      <c r="G1416" s="19"/>
      <c r="H1416" s="178"/>
      <c r="I1416" s="57"/>
      <c r="J1416" s="15"/>
      <c r="K1416" s="15"/>
      <c r="L1416" s="15">
        <f t="shared" si="216"/>
        <v>0</v>
      </c>
      <c r="M1416" s="15"/>
      <c r="N1416" s="15">
        <f t="shared" si="217"/>
        <v>0</v>
      </c>
      <c r="O1416" s="15" t="str">
        <f>IF(AND(A1416='BANG KE NL'!$M$11,TH!C1416="NL",LEFT(D1416,1)="N"),"x","")</f>
        <v/>
      </c>
    </row>
    <row r="1417" spans="1:15" hidden="1">
      <c r="A1417" s="24" t="str">
        <f t="shared" si="215"/>
        <v/>
      </c>
      <c r="B1417" s="176" t="str">
        <f>IF(AND(MONTH(E1417)='IN-NX'!$J$5,'IN-NX'!$D$7=(D1417&amp;"/"&amp;C1417)),"x","")</f>
        <v/>
      </c>
      <c r="C1417" s="173"/>
      <c r="D1417" s="173"/>
      <c r="E1417" s="70"/>
      <c r="F1417" s="62"/>
      <c r="G1417" s="19"/>
      <c r="H1417" s="178"/>
      <c r="I1417" s="57"/>
      <c r="J1417" s="15"/>
      <c r="K1417" s="15"/>
      <c r="L1417" s="15">
        <f t="shared" si="216"/>
        <v>0</v>
      </c>
      <c r="M1417" s="15"/>
      <c r="N1417" s="15">
        <f t="shared" si="217"/>
        <v>0</v>
      </c>
      <c r="O1417" s="15" t="str">
        <f>IF(AND(A1417='BANG KE NL'!$M$11,TH!C1417="NL",LEFT(D1417,1)="N"),"x","")</f>
        <v/>
      </c>
    </row>
    <row r="1418" spans="1:15" hidden="1">
      <c r="A1418" s="24" t="str">
        <f t="shared" si="215"/>
        <v/>
      </c>
      <c r="B1418" s="176" t="str">
        <f>IF(AND(MONTH(E1418)='IN-NX'!$J$5,'IN-NX'!$D$7=(D1418&amp;"/"&amp;C1418)),"x","")</f>
        <v/>
      </c>
      <c r="C1418" s="173"/>
      <c r="D1418" s="173"/>
      <c r="E1418" s="70"/>
      <c r="F1418" s="62"/>
      <c r="G1418" s="19"/>
      <c r="H1418" s="178"/>
      <c r="I1418" s="57"/>
      <c r="J1418" s="15"/>
      <c r="K1418" s="15"/>
      <c r="L1418" s="15">
        <f t="shared" si="216"/>
        <v>0</v>
      </c>
      <c r="M1418" s="15"/>
      <c r="N1418" s="15">
        <f t="shared" si="217"/>
        <v>0</v>
      </c>
      <c r="O1418" s="15" t="str">
        <f>IF(AND(A1418='BANG KE NL'!$M$11,TH!C1418="NL",LEFT(D1418,1)="N"),"x","")</f>
        <v/>
      </c>
    </row>
    <row r="1419" spans="1:15" hidden="1">
      <c r="A1419" s="24" t="str">
        <f t="shared" si="215"/>
        <v/>
      </c>
      <c r="B1419" s="176" t="str">
        <f>IF(AND(MONTH(E1419)='IN-NX'!$J$5,'IN-NX'!$D$7=(D1419&amp;"/"&amp;C1419)),"x","")</f>
        <v/>
      </c>
      <c r="C1419" s="173"/>
      <c r="D1419" s="173"/>
      <c r="E1419" s="70"/>
      <c r="F1419" s="62"/>
      <c r="G1419" s="19"/>
      <c r="H1419" s="178"/>
      <c r="I1419" s="57"/>
      <c r="J1419" s="15"/>
      <c r="K1419" s="15"/>
      <c r="L1419" s="15">
        <f t="shared" si="216"/>
        <v>0</v>
      </c>
      <c r="M1419" s="15"/>
      <c r="N1419" s="15">
        <f t="shared" si="217"/>
        <v>0</v>
      </c>
      <c r="O1419" s="15" t="str">
        <f>IF(AND(A1419='BANG KE NL'!$M$11,TH!C1419="NL",LEFT(D1419,1)="N"),"x","")</f>
        <v/>
      </c>
    </row>
    <row r="1420" spans="1:15" hidden="1">
      <c r="A1420" s="24" t="str">
        <f t="shared" si="215"/>
        <v/>
      </c>
      <c r="B1420" s="176" t="str">
        <f>IF(AND(MONTH(E1420)='IN-NX'!$J$5,'IN-NX'!$D$7=(D1420&amp;"/"&amp;C1420)),"x","")</f>
        <v/>
      </c>
      <c r="C1420" s="173"/>
      <c r="D1420" s="173"/>
      <c r="E1420" s="70"/>
      <c r="F1420" s="62"/>
      <c r="G1420" s="19"/>
      <c r="H1420" s="178"/>
      <c r="I1420" s="57"/>
      <c r="J1420" s="15"/>
      <c r="K1420" s="15"/>
      <c r="L1420" s="15">
        <f t="shared" si="216"/>
        <v>0</v>
      </c>
      <c r="M1420" s="15"/>
      <c r="N1420" s="15">
        <f t="shared" si="217"/>
        <v>0</v>
      </c>
      <c r="O1420" s="15" t="str">
        <f>IF(AND(A1420='BANG KE NL'!$M$11,TH!C1420="NL",LEFT(D1420,1)="N"),"x","")</f>
        <v/>
      </c>
    </row>
    <row r="1421" spans="1:15" hidden="1">
      <c r="A1421" s="24" t="str">
        <f t="shared" si="215"/>
        <v/>
      </c>
      <c r="B1421" s="176" t="str">
        <f>IF(AND(MONTH(E1421)='IN-NX'!$J$5,'IN-NX'!$D$7=(D1421&amp;"/"&amp;C1421)),"x","")</f>
        <v/>
      </c>
      <c r="C1421" s="173"/>
      <c r="D1421" s="173"/>
      <c r="E1421" s="70"/>
      <c r="F1421" s="62"/>
      <c r="G1421" s="19"/>
      <c r="H1421" s="178"/>
      <c r="I1421" s="57"/>
      <c r="J1421" s="15"/>
      <c r="K1421" s="15"/>
      <c r="L1421" s="15">
        <f t="shared" si="216"/>
        <v>0</v>
      </c>
      <c r="M1421" s="15"/>
      <c r="N1421" s="15">
        <f t="shared" si="217"/>
        <v>0</v>
      </c>
      <c r="O1421" s="15" t="str">
        <f>IF(AND(A1421='BANG KE NL'!$M$11,TH!C1421="NL",LEFT(D1421,1)="N"),"x","")</f>
        <v/>
      </c>
    </row>
    <row r="1422" spans="1:15" hidden="1">
      <c r="A1422" s="24" t="str">
        <f t="shared" si="215"/>
        <v/>
      </c>
      <c r="B1422" s="176" t="str">
        <f>IF(AND(MONTH(E1422)='IN-NX'!$J$5,'IN-NX'!$D$7=(D1422&amp;"/"&amp;C1422)),"x","")</f>
        <v/>
      </c>
      <c r="C1422" s="173"/>
      <c r="D1422" s="173"/>
      <c r="E1422" s="70"/>
      <c r="F1422" s="62"/>
      <c r="G1422" s="19"/>
      <c r="H1422" s="178"/>
      <c r="I1422" s="57"/>
      <c r="J1422" s="15"/>
      <c r="K1422" s="15"/>
      <c r="L1422" s="15">
        <f t="shared" si="216"/>
        <v>0</v>
      </c>
      <c r="M1422" s="15"/>
      <c r="N1422" s="15">
        <f t="shared" si="217"/>
        <v>0</v>
      </c>
      <c r="O1422" s="15" t="str">
        <f>IF(AND(A1422='BANG KE NL'!$M$11,TH!C1422="NL",LEFT(D1422,1)="N"),"x","")</f>
        <v/>
      </c>
    </row>
    <row r="1423" spans="1:15" hidden="1">
      <c r="A1423" s="24" t="str">
        <f t="shared" si="215"/>
        <v/>
      </c>
      <c r="B1423" s="176" t="str">
        <f>IF(AND(MONTH(E1423)='IN-NX'!$J$5,'IN-NX'!$D$7=(D1423&amp;"/"&amp;C1423)),"x","")</f>
        <v/>
      </c>
      <c r="C1423" s="173"/>
      <c r="D1423" s="173"/>
      <c r="E1423" s="70"/>
      <c r="F1423" s="62"/>
      <c r="G1423" s="19"/>
      <c r="H1423" s="178"/>
      <c r="I1423" s="57"/>
      <c r="J1423" s="15"/>
      <c r="K1423" s="15"/>
      <c r="L1423" s="15">
        <f t="shared" si="216"/>
        <v>0</v>
      </c>
      <c r="M1423" s="15"/>
      <c r="N1423" s="15">
        <f t="shared" si="217"/>
        <v>0</v>
      </c>
      <c r="O1423" s="15" t="str">
        <f>IF(AND(A1423='BANG KE NL'!$M$11,TH!C1423="NL",LEFT(D1423,1)="N"),"x","")</f>
        <v/>
      </c>
    </row>
    <row r="1424" spans="1:15" hidden="1">
      <c r="A1424" s="24" t="str">
        <f t="shared" si="215"/>
        <v/>
      </c>
      <c r="B1424" s="176" t="str">
        <f>IF(AND(MONTH(E1424)='IN-NX'!$J$5,'IN-NX'!$D$7=(D1424&amp;"/"&amp;C1424)),"x","")</f>
        <v/>
      </c>
      <c r="C1424" s="173"/>
      <c r="D1424" s="173"/>
      <c r="E1424" s="70"/>
      <c r="F1424" s="62"/>
      <c r="G1424" s="19"/>
      <c r="H1424" s="178"/>
      <c r="I1424" s="57"/>
      <c r="J1424" s="15"/>
      <c r="K1424" s="15"/>
      <c r="L1424" s="15">
        <f t="shared" si="216"/>
        <v>0</v>
      </c>
      <c r="M1424" s="15"/>
      <c r="N1424" s="15">
        <f t="shared" si="217"/>
        <v>0</v>
      </c>
      <c r="O1424" s="15" t="str">
        <f>IF(AND(A1424='BANG KE NL'!$M$11,TH!C1424="NL",LEFT(D1424,1)="N"),"x","")</f>
        <v/>
      </c>
    </row>
    <row r="1425" spans="1:15" hidden="1">
      <c r="A1425" s="24" t="str">
        <f t="shared" si="215"/>
        <v/>
      </c>
      <c r="B1425" s="176" t="str">
        <f>IF(AND(MONTH(E1425)='IN-NX'!$J$5,'IN-NX'!$D$7=(D1425&amp;"/"&amp;C1425)),"x","")</f>
        <v/>
      </c>
      <c r="C1425" s="173"/>
      <c r="D1425" s="173"/>
      <c r="E1425" s="70"/>
      <c r="F1425" s="62"/>
      <c r="G1425" s="19"/>
      <c r="H1425" s="178"/>
      <c r="I1425" s="57"/>
      <c r="J1425" s="15"/>
      <c r="K1425" s="15"/>
      <c r="L1425" s="15">
        <f t="shared" si="216"/>
        <v>0</v>
      </c>
      <c r="M1425" s="15"/>
      <c r="N1425" s="15">
        <f t="shared" si="217"/>
        <v>0</v>
      </c>
      <c r="O1425" s="15" t="str">
        <f>IF(AND(A1425='BANG KE NL'!$M$11,TH!C1425="NL",LEFT(D1425,1)="N"),"x","")</f>
        <v/>
      </c>
    </row>
    <row r="1426" spans="1:15" hidden="1">
      <c r="A1426" s="24" t="str">
        <f t="shared" si="215"/>
        <v/>
      </c>
      <c r="B1426" s="176" t="str">
        <f>IF(AND(MONTH(E1426)='IN-NX'!$J$5,'IN-NX'!$D$7=(D1426&amp;"/"&amp;C1426)),"x","")</f>
        <v/>
      </c>
      <c r="C1426" s="173"/>
      <c r="D1426" s="173"/>
      <c r="E1426" s="70"/>
      <c r="F1426" s="62"/>
      <c r="G1426" s="19"/>
      <c r="H1426" s="178"/>
      <c r="I1426" s="57"/>
      <c r="J1426" s="15"/>
      <c r="K1426" s="15"/>
      <c r="L1426" s="15">
        <f t="shared" si="216"/>
        <v>0</v>
      </c>
      <c r="M1426" s="15"/>
      <c r="N1426" s="15">
        <f t="shared" si="217"/>
        <v>0</v>
      </c>
      <c r="O1426" s="15" t="str">
        <f>IF(AND(A1426='BANG KE NL'!$M$11,TH!C1426="NL",LEFT(D1426,1)="N"),"x","")</f>
        <v/>
      </c>
    </row>
    <row r="1427" spans="1:15" hidden="1">
      <c r="A1427" s="24" t="str">
        <f t="shared" si="215"/>
        <v/>
      </c>
      <c r="B1427" s="176" t="str">
        <f>IF(AND(MONTH(E1427)='IN-NX'!$J$5,'IN-NX'!$D$7=(D1427&amp;"/"&amp;C1427)),"x","")</f>
        <v/>
      </c>
      <c r="C1427" s="173"/>
      <c r="D1427" s="173"/>
      <c r="E1427" s="70"/>
      <c r="F1427" s="62"/>
      <c r="G1427" s="19"/>
      <c r="H1427" s="178"/>
      <c r="I1427" s="57"/>
      <c r="J1427" s="15"/>
      <c r="K1427" s="15"/>
      <c r="L1427" s="15">
        <f t="shared" si="216"/>
        <v>0</v>
      </c>
      <c r="M1427" s="15"/>
      <c r="N1427" s="15">
        <f t="shared" si="217"/>
        <v>0</v>
      </c>
      <c r="O1427" s="15" t="str">
        <f>IF(AND(A1427='BANG KE NL'!$M$11,TH!C1427="NL",LEFT(D1427,1)="N"),"x","")</f>
        <v/>
      </c>
    </row>
    <row r="1428" spans="1:15" hidden="1">
      <c r="A1428" s="24" t="str">
        <f t="shared" si="215"/>
        <v/>
      </c>
      <c r="B1428" s="176" t="str">
        <f>IF(AND(MONTH(E1428)='IN-NX'!$J$5,'IN-NX'!$D$7=(D1428&amp;"/"&amp;C1428)),"x","")</f>
        <v/>
      </c>
      <c r="C1428" s="173"/>
      <c r="D1428" s="173"/>
      <c r="E1428" s="70"/>
      <c r="F1428" s="62"/>
      <c r="G1428" s="19"/>
      <c r="H1428" s="178"/>
      <c r="I1428" s="57"/>
      <c r="J1428" s="15"/>
      <c r="K1428" s="15"/>
      <c r="L1428" s="15">
        <f t="shared" si="216"/>
        <v>0</v>
      </c>
      <c r="M1428" s="15"/>
      <c r="N1428" s="15">
        <f t="shared" si="217"/>
        <v>0</v>
      </c>
      <c r="O1428" s="15" t="str">
        <f>IF(AND(A1428='BANG KE NL'!$M$11,TH!C1428="NL",LEFT(D1428,1)="N"),"x","")</f>
        <v/>
      </c>
    </row>
    <row r="1429" spans="1:15" hidden="1">
      <c r="A1429" s="24" t="str">
        <f t="shared" si="215"/>
        <v/>
      </c>
      <c r="B1429" s="176" t="str">
        <f>IF(AND(MONTH(E1429)='IN-NX'!$J$5,'IN-NX'!$D$7=(D1429&amp;"/"&amp;C1429)),"x","")</f>
        <v/>
      </c>
      <c r="C1429" s="173"/>
      <c r="D1429" s="173"/>
      <c r="E1429" s="70"/>
      <c r="F1429" s="62"/>
      <c r="G1429" s="19"/>
      <c r="H1429" s="178"/>
      <c r="I1429" s="57"/>
      <c r="J1429" s="15"/>
      <c r="K1429" s="15"/>
      <c r="L1429" s="15">
        <f t="shared" si="216"/>
        <v>0</v>
      </c>
      <c r="M1429" s="15"/>
      <c r="N1429" s="15">
        <f t="shared" si="217"/>
        <v>0</v>
      </c>
      <c r="O1429" s="15" t="str">
        <f>IF(AND(A1429='BANG KE NL'!$M$11,TH!C1429="NL",LEFT(D1429,1)="N"),"x","")</f>
        <v/>
      </c>
    </row>
    <row r="1430" spans="1:15" hidden="1">
      <c r="A1430" s="24" t="str">
        <f t="shared" si="215"/>
        <v/>
      </c>
      <c r="B1430" s="176" t="str">
        <f>IF(AND(MONTH(E1430)='IN-NX'!$J$5,'IN-NX'!$D$7=(D1430&amp;"/"&amp;C1430)),"x","")</f>
        <v/>
      </c>
      <c r="C1430" s="173"/>
      <c r="D1430" s="173"/>
      <c r="E1430" s="70"/>
      <c r="F1430" s="62"/>
      <c r="G1430" s="19"/>
      <c r="H1430" s="178"/>
      <c r="I1430" s="57"/>
      <c r="J1430" s="15"/>
      <c r="K1430" s="15"/>
      <c r="L1430" s="15">
        <f t="shared" si="216"/>
        <v>0</v>
      </c>
      <c r="M1430" s="15"/>
      <c r="N1430" s="15">
        <f t="shared" si="217"/>
        <v>0</v>
      </c>
      <c r="O1430" s="15" t="str">
        <f>IF(AND(A1430='BANG KE NL'!$M$11,TH!C1430="NL",LEFT(D1430,1)="N"),"x","")</f>
        <v/>
      </c>
    </row>
    <row r="1431" spans="1:15" hidden="1">
      <c r="A1431" s="24" t="str">
        <f t="shared" si="215"/>
        <v/>
      </c>
      <c r="B1431" s="176" t="str">
        <f>IF(AND(MONTH(E1431)='IN-NX'!$J$5,'IN-NX'!$D$7=(D1431&amp;"/"&amp;C1431)),"x","")</f>
        <v/>
      </c>
      <c r="C1431" s="173"/>
      <c r="D1431" s="173"/>
      <c r="E1431" s="70"/>
      <c r="F1431" s="62"/>
      <c r="G1431" s="19"/>
      <c r="H1431" s="178"/>
      <c r="I1431" s="57"/>
      <c r="J1431" s="15"/>
      <c r="K1431" s="15"/>
      <c r="L1431" s="15">
        <f t="shared" si="216"/>
        <v>0</v>
      </c>
      <c r="M1431" s="15"/>
      <c r="N1431" s="15">
        <f t="shared" si="217"/>
        <v>0</v>
      </c>
      <c r="O1431" s="15" t="str">
        <f>IF(AND(A1431='BANG KE NL'!$M$11,TH!C1431="NL",LEFT(D1431,1)="N"),"x","")</f>
        <v/>
      </c>
    </row>
    <row r="1432" spans="1:15" hidden="1">
      <c r="A1432" s="24" t="str">
        <f t="shared" si="215"/>
        <v/>
      </c>
      <c r="B1432" s="176" t="str">
        <f>IF(AND(MONTH(E1432)='IN-NX'!$J$5,'IN-NX'!$D$7=(D1432&amp;"/"&amp;C1432)),"x","")</f>
        <v/>
      </c>
      <c r="C1432" s="173"/>
      <c r="D1432" s="173"/>
      <c r="E1432" s="70"/>
      <c r="F1432" s="62"/>
      <c r="G1432" s="19"/>
      <c r="H1432" s="178"/>
      <c r="I1432" s="57"/>
      <c r="J1432" s="15"/>
      <c r="K1432" s="15"/>
      <c r="L1432" s="15">
        <f t="shared" si="216"/>
        <v>0</v>
      </c>
      <c r="M1432" s="15"/>
      <c r="N1432" s="15">
        <f t="shared" si="217"/>
        <v>0</v>
      </c>
      <c r="O1432" s="15" t="str">
        <f>IF(AND(A1432='BANG KE NL'!$M$11,TH!C1432="NL",LEFT(D1432,1)="N"),"x","")</f>
        <v/>
      </c>
    </row>
    <row r="1433" spans="1:15" hidden="1">
      <c r="A1433" s="24" t="str">
        <f t="shared" si="215"/>
        <v/>
      </c>
      <c r="B1433" s="176" t="str">
        <f>IF(AND(MONTH(E1433)='IN-NX'!$J$5,'IN-NX'!$D$7=(D1433&amp;"/"&amp;C1433)),"x","")</f>
        <v/>
      </c>
      <c r="C1433" s="173"/>
      <c r="D1433" s="173"/>
      <c r="E1433" s="70"/>
      <c r="F1433" s="62"/>
      <c r="G1433" s="19"/>
      <c r="H1433" s="178"/>
      <c r="I1433" s="57"/>
      <c r="J1433" s="15"/>
      <c r="K1433" s="15"/>
      <c r="L1433" s="15">
        <f t="shared" si="216"/>
        <v>0</v>
      </c>
      <c r="M1433" s="15"/>
      <c r="N1433" s="15">
        <f t="shared" si="217"/>
        <v>0</v>
      </c>
      <c r="O1433" s="15" t="str">
        <f>IF(AND(A1433='BANG KE NL'!$M$11,TH!C1433="NL",LEFT(D1433,1)="N"),"x","")</f>
        <v/>
      </c>
    </row>
    <row r="1434" spans="1:15" hidden="1">
      <c r="A1434" s="24" t="str">
        <f t="shared" si="215"/>
        <v/>
      </c>
      <c r="B1434" s="176" t="str">
        <f>IF(AND(MONTH(E1434)='IN-NX'!$J$5,'IN-NX'!$D$7=(D1434&amp;"/"&amp;C1434)),"x","")</f>
        <v/>
      </c>
      <c r="C1434" s="173"/>
      <c r="D1434" s="173"/>
      <c r="E1434" s="70"/>
      <c r="F1434" s="62"/>
      <c r="G1434" s="19"/>
      <c r="H1434" s="178"/>
      <c r="I1434" s="57"/>
      <c r="J1434" s="15"/>
      <c r="K1434" s="15"/>
      <c r="L1434" s="15">
        <f t="shared" si="216"/>
        <v>0</v>
      </c>
      <c r="M1434" s="15"/>
      <c r="N1434" s="15">
        <f t="shared" si="217"/>
        <v>0</v>
      </c>
      <c r="O1434" s="15" t="str">
        <f>IF(AND(A1434='BANG KE NL'!$M$11,TH!C1434="NL",LEFT(D1434,1)="N"),"x","")</f>
        <v/>
      </c>
    </row>
    <row r="1435" spans="1:15" hidden="1">
      <c r="A1435" s="24" t="str">
        <f t="shared" si="215"/>
        <v/>
      </c>
      <c r="B1435" s="176" t="str">
        <f>IF(AND(MONTH(E1435)='IN-NX'!$J$5,'IN-NX'!$D$7=(D1435&amp;"/"&amp;C1435)),"x","")</f>
        <v/>
      </c>
      <c r="C1435" s="173"/>
      <c r="D1435" s="173"/>
      <c r="E1435" s="70"/>
      <c r="F1435" s="62"/>
      <c r="G1435" s="19"/>
      <c r="H1435" s="178"/>
      <c r="I1435" s="57"/>
      <c r="J1435" s="15"/>
      <c r="K1435" s="15"/>
      <c r="L1435" s="15">
        <f t="shared" si="216"/>
        <v>0</v>
      </c>
      <c r="M1435" s="15"/>
      <c r="N1435" s="15">
        <f t="shared" si="217"/>
        <v>0</v>
      </c>
      <c r="O1435" s="15" t="str">
        <f>IF(AND(A1435='BANG KE NL'!$M$11,TH!C1435="NL",LEFT(D1435,1)="N"),"x","")</f>
        <v/>
      </c>
    </row>
    <row r="1436" spans="1:15" hidden="1">
      <c r="A1436" s="24" t="str">
        <f t="shared" si="215"/>
        <v/>
      </c>
      <c r="B1436" s="176" t="str">
        <f>IF(AND(MONTH(E1436)='IN-NX'!$J$5,'IN-NX'!$D$7=(D1436&amp;"/"&amp;C1436)),"x","")</f>
        <v/>
      </c>
      <c r="C1436" s="173"/>
      <c r="D1436" s="173"/>
      <c r="E1436" s="70"/>
      <c r="F1436" s="62"/>
      <c r="G1436" s="19"/>
      <c r="H1436" s="178"/>
      <c r="I1436" s="57"/>
      <c r="J1436" s="15"/>
      <c r="K1436" s="15"/>
      <c r="L1436" s="15">
        <f t="shared" si="216"/>
        <v>0</v>
      </c>
      <c r="M1436" s="15"/>
      <c r="N1436" s="15">
        <f t="shared" si="217"/>
        <v>0</v>
      </c>
      <c r="O1436" s="15" t="str">
        <f>IF(AND(A1436='BANG KE NL'!$M$11,TH!C1436="NL",LEFT(D1436,1)="N"),"x","")</f>
        <v/>
      </c>
    </row>
    <row r="1437" spans="1:15" hidden="1">
      <c r="A1437" s="24" t="str">
        <f t="shared" si="215"/>
        <v/>
      </c>
      <c r="B1437" s="176" t="str">
        <f>IF(AND(MONTH(E1437)='IN-NX'!$J$5,'IN-NX'!$D$7=(D1437&amp;"/"&amp;C1437)),"x","")</f>
        <v/>
      </c>
      <c r="C1437" s="173"/>
      <c r="D1437" s="173"/>
      <c r="E1437" s="70"/>
      <c r="F1437" s="62"/>
      <c r="G1437" s="19"/>
      <c r="H1437" s="178"/>
      <c r="I1437" s="57"/>
      <c r="J1437" s="15"/>
      <c r="K1437" s="15"/>
      <c r="L1437" s="15">
        <f t="shared" si="216"/>
        <v>0</v>
      </c>
      <c r="M1437" s="15"/>
      <c r="N1437" s="15">
        <f t="shared" si="217"/>
        <v>0</v>
      </c>
      <c r="O1437" s="15" t="str">
        <f>IF(AND(A1437='BANG KE NL'!$M$11,TH!C1437="NL",LEFT(D1437,1)="N"),"x","")</f>
        <v/>
      </c>
    </row>
    <row r="1438" spans="1:15" hidden="1">
      <c r="A1438" s="24" t="str">
        <f t="shared" si="215"/>
        <v/>
      </c>
      <c r="B1438" s="176" t="str">
        <f>IF(AND(MONTH(E1438)='IN-NX'!$J$5,'IN-NX'!$D$7=(D1438&amp;"/"&amp;C1438)),"x","")</f>
        <v/>
      </c>
      <c r="C1438" s="173"/>
      <c r="D1438" s="173"/>
      <c r="E1438" s="70"/>
      <c r="F1438" s="62"/>
      <c r="G1438" s="19"/>
      <c r="H1438" s="178"/>
      <c r="I1438" s="57"/>
      <c r="J1438" s="15"/>
      <c r="K1438" s="15"/>
      <c r="L1438" s="15">
        <f t="shared" si="216"/>
        <v>0</v>
      </c>
      <c r="M1438" s="15"/>
      <c r="N1438" s="15">
        <f t="shared" si="217"/>
        <v>0</v>
      </c>
      <c r="O1438" s="15" t="str">
        <f>IF(AND(A1438='BANG KE NL'!$M$11,TH!C1438="NL",LEFT(D1438,1)="N"),"x","")</f>
        <v/>
      </c>
    </row>
    <row r="1439" spans="1:15" hidden="1">
      <c r="A1439" s="24" t="str">
        <f t="shared" si="215"/>
        <v/>
      </c>
      <c r="B1439" s="176" t="str">
        <f>IF(AND(MONTH(E1439)='IN-NX'!$J$5,'IN-NX'!$D$7=(D1439&amp;"/"&amp;C1439)),"x","")</f>
        <v/>
      </c>
      <c r="C1439" s="173"/>
      <c r="D1439" s="173"/>
      <c r="E1439" s="70"/>
      <c r="F1439" s="62"/>
      <c r="G1439" s="19"/>
      <c r="H1439" s="178"/>
      <c r="I1439" s="57"/>
      <c r="J1439" s="15"/>
      <c r="K1439" s="15"/>
      <c r="L1439" s="15">
        <f t="shared" si="216"/>
        <v>0</v>
      </c>
      <c r="M1439" s="15"/>
      <c r="N1439" s="15">
        <f t="shared" si="217"/>
        <v>0</v>
      </c>
      <c r="O1439" s="15" t="str">
        <f>IF(AND(A1439='BANG KE NL'!$M$11,TH!C1439="NL",LEFT(D1439,1)="N"),"x","")</f>
        <v/>
      </c>
    </row>
    <row r="1440" spans="1:15" hidden="1">
      <c r="A1440" s="24" t="str">
        <f t="shared" si="215"/>
        <v/>
      </c>
      <c r="B1440" s="176" t="str">
        <f>IF(AND(MONTH(E1440)='IN-NX'!$J$5,'IN-NX'!$D$7=(D1440&amp;"/"&amp;C1440)),"x","")</f>
        <v/>
      </c>
      <c r="C1440" s="173"/>
      <c r="D1440" s="173"/>
      <c r="E1440" s="70"/>
      <c r="F1440" s="62"/>
      <c r="G1440" s="19"/>
      <c r="H1440" s="178"/>
      <c r="I1440" s="57"/>
      <c r="J1440" s="15"/>
      <c r="K1440" s="15"/>
      <c r="L1440" s="15">
        <f t="shared" si="216"/>
        <v>0</v>
      </c>
      <c r="M1440" s="15"/>
      <c r="N1440" s="15">
        <f t="shared" si="217"/>
        <v>0</v>
      </c>
      <c r="O1440" s="15" t="str">
        <f>IF(AND(A1440='BANG KE NL'!$M$11,TH!C1440="NL",LEFT(D1440,1)="N"),"x","")</f>
        <v/>
      </c>
    </row>
    <row r="1441" spans="1:15" hidden="1">
      <c r="A1441" s="24" t="str">
        <f t="shared" si="215"/>
        <v/>
      </c>
      <c r="B1441" s="176" t="str">
        <f>IF(AND(MONTH(E1441)='IN-NX'!$J$5,'IN-NX'!$D$7=(D1441&amp;"/"&amp;C1441)),"x","")</f>
        <v/>
      </c>
      <c r="C1441" s="173"/>
      <c r="D1441" s="173"/>
      <c r="E1441" s="70"/>
      <c r="F1441" s="62"/>
      <c r="G1441" s="19"/>
      <c r="H1441" s="178"/>
      <c r="I1441" s="57"/>
      <c r="J1441" s="15"/>
      <c r="K1441" s="15"/>
      <c r="L1441" s="15">
        <f t="shared" si="216"/>
        <v>0</v>
      </c>
      <c r="M1441" s="15"/>
      <c r="N1441" s="15">
        <f t="shared" si="217"/>
        <v>0</v>
      </c>
      <c r="O1441" s="15" t="str">
        <f>IF(AND(A1441='BANG KE NL'!$M$11,TH!C1441="NL",LEFT(D1441,1)="N"),"x","")</f>
        <v/>
      </c>
    </row>
    <row r="1442" spans="1:15" hidden="1">
      <c r="A1442" s="24" t="str">
        <f t="shared" si="215"/>
        <v/>
      </c>
      <c r="B1442" s="176" t="str">
        <f>IF(AND(MONTH(E1442)='IN-NX'!$J$5,'IN-NX'!$D$7=(D1442&amp;"/"&amp;C1442)),"x","")</f>
        <v/>
      </c>
      <c r="C1442" s="173"/>
      <c r="D1442" s="173"/>
      <c r="E1442" s="70"/>
      <c r="F1442" s="62"/>
      <c r="G1442" s="19"/>
      <c r="H1442" s="178"/>
      <c r="I1442" s="57"/>
      <c r="J1442" s="15"/>
      <c r="K1442" s="15"/>
      <c r="L1442" s="15">
        <f t="shared" si="216"/>
        <v>0</v>
      </c>
      <c r="M1442" s="15"/>
      <c r="N1442" s="15">
        <f t="shared" si="217"/>
        <v>0</v>
      </c>
      <c r="O1442" s="15" t="str">
        <f>IF(AND(A1442='BANG KE NL'!$M$11,TH!C1442="NL",LEFT(D1442,1)="N"),"x","")</f>
        <v/>
      </c>
    </row>
    <row r="1443" spans="1:15" hidden="1">
      <c r="A1443" s="24" t="str">
        <f t="shared" si="215"/>
        <v/>
      </c>
      <c r="B1443" s="176" t="str">
        <f>IF(AND(MONTH(E1443)='IN-NX'!$J$5,'IN-NX'!$D$7=(D1443&amp;"/"&amp;C1443)),"x","")</f>
        <v/>
      </c>
      <c r="C1443" s="173"/>
      <c r="D1443" s="173"/>
      <c r="E1443" s="70"/>
      <c r="F1443" s="62"/>
      <c r="G1443" s="19"/>
      <c r="H1443" s="178"/>
      <c r="I1443" s="57"/>
      <c r="J1443" s="15"/>
      <c r="K1443" s="15"/>
      <c r="L1443" s="15">
        <f t="shared" si="216"/>
        <v>0</v>
      </c>
      <c r="M1443" s="15"/>
      <c r="N1443" s="15">
        <f t="shared" si="217"/>
        <v>0</v>
      </c>
      <c r="O1443" s="15" t="str">
        <f>IF(AND(A1443='BANG KE NL'!$M$11,TH!C1443="NL",LEFT(D1443,1)="N"),"x","")</f>
        <v/>
      </c>
    </row>
    <row r="1444" spans="1:15" hidden="1">
      <c r="A1444" s="24" t="str">
        <f t="shared" si="215"/>
        <v/>
      </c>
      <c r="B1444" s="176" t="str">
        <f>IF(AND(MONTH(E1444)='IN-NX'!$J$5,'IN-NX'!$D$7=(D1444&amp;"/"&amp;C1444)),"x","")</f>
        <v/>
      </c>
      <c r="C1444" s="173"/>
      <c r="D1444" s="173"/>
      <c r="E1444" s="70"/>
      <c r="F1444" s="62"/>
      <c r="G1444" s="19"/>
      <c r="H1444" s="178"/>
      <c r="I1444" s="57"/>
      <c r="J1444" s="15"/>
      <c r="K1444" s="15"/>
      <c r="L1444" s="15">
        <f t="shared" si="216"/>
        <v>0</v>
      </c>
      <c r="M1444" s="15"/>
      <c r="N1444" s="15">
        <f t="shared" si="217"/>
        <v>0</v>
      </c>
      <c r="O1444" s="15" t="str">
        <f>IF(AND(A1444='BANG KE NL'!$M$11,TH!C1444="NL",LEFT(D1444,1)="N"),"x","")</f>
        <v/>
      </c>
    </row>
    <row r="1445" spans="1:15" hidden="1">
      <c r="A1445" s="24" t="str">
        <f t="shared" ref="A1445:A1447" si="218">IF(E1445&lt;&gt;"",MONTH(E1445),"")</f>
        <v/>
      </c>
      <c r="B1445" s="176" t="str">
        <f>IF(AND(MONTH(E1445)='IN-NX'!$J$5,'IN-NX'!$D$7=(D1445&amp;"/"&amp;C1445)),"x","")</f>
        <v/>
      </c>
      <c r="C1445" s="173"/>
      <c r="D1445" s="173"/>
      <c r="E1445" s="70"/>
      <c r="F1445" s="62"/>
      <c r="G1445" s="19"/>
      <c r="H1445" s="178"/>
      <c r="I1445" s="57"/>
      <c r="J1445" s="15"/>
      <c r="K1445" s="15"/>
      <c r="L1445" s="15">
        <f t="shared" si="216"/>
        <v>0</v>
      </c>
      <c r="M1445" s="15"/>
      <c r="N1445" s="15">
        <f t="shared" si="217"/>
        <v>0</v>
      </c>
      <c r="O1445" s="15" t="str">
        <f>IF(AND(A1445='BANG KE NL'!$M$11,TH!C1445="NL",LEFT(D1445,1)="N"),"x","")</f>
        <v/>
      </c>
    </row>
    <row r="1446" spans="1:15" hidden="1">
      <c r="A1446" s="24" t="str">
        <f t="shared" si="218"/>
        <v/>
      </c>
      <c r="B1446" s="176" t="str">
        <f>IF(AND(MONTH(E1446)='IN-NX'!$J$5,'IN-NX'!$D$7=(D1446&amp;"/"&amp;C1446)),"x","")</f>
        <v/>
      </c>
      <c r="C1446" s="173"/>
      <c r="D1446" s="173"/>
      <c r="E1446" s="70"/>
      <c r="F1446" s="62"/>
      <c r="G1446" s="19"/>
      <c r="H1446" s="178"/>
      <c r="I1446" s="57"/>
      <c r="J1446" s="15"/>
      <c r="K1446" s="15"/>
      <c r="L1446" s="15">
        <f t="shared" si="216"/>
        <v>0</v>
      </c>
      <c r="M1446" s="15"/>
      <c r="N1446" s="15">
        <f t="shared" si="217"/>
        <v>0</v>
      </c>
      <c r="O1446" s="15" t="str">
        <f>IF(AND(A1446='BANG KE NL'!$M$11,TH!C1446="NL",LEFT(D1446,1)="N"),"x","")</f>
        <v/>
      </c>
    </row>
    <row r="1447" spans="1:15" hidden="1">
      <c r="A1447" s="24" t="str">
        <f t="shared" si="218"/>
        <v/>
      </c>
      <c r="B1447" s="176" t="str">
        <f>IF(AND(MONTH(E1447)='IN-NX'!$J$5,'IN-NX'!$D$7=(D1447&amp;"/"&amp;C1447)),"x","")</f>
        <v/>
      </c>
      <c r="C1447" s="173"/>
      <c r="D1447" s="173"/>
      <c r="E1447" s="70"/>
      <c r="F1447" s="62"/>
      <c r="G1447" s="19"/>
      <c r="H1447" s="178"/>
      <c r="I1447" s="57"/>
      <c r="J1447" s="15"/>
      <c r="K1447" s="15"/>
      <c r="L1447" s="15">
        <f t="shared" si="216"/>
        <v>0</v>
      </c>
      <c r="M1447" s="15"/>
      <c r="N1447" s="15">
        <f t="shared" si="217"/>
        <v>0</v>
      </c>
      <c r="O1447" s="15" t="str">
        <f>IF(AND(A1447='BANG KE NL'!$M$11,TH!C1447="NL",LEFT(D1447,1)="N"),"x","")</f>
        <v/>
      </c>
    </row>
    <row r="1448" spans="1:15">
      <c r="L1448" s="26"/>
    </row>
    <row r="1449" spans="1:15">
      <c r="L1449" s="26"/>
      <c r="N1449" s="204"/>
    </row>
    <row r="1450" spans="1:15">
      <c r="L1450" s="26"/>
    </row>
    <row r="1451" spans="1:15">
      <c r="L1451" s="26"/>
    </row>
    <row r="1452" spans="1:15">
      <c r="L1452" s="26"/>
      <c r="N1452" s="26">
        <f>SUBTOTAL(9,N127:N1451)</f>
        <v>5959923201</v>
      </c>
    </row>
    <row r="1453" spans="1:15">
      <c r="L1453" s="26"/>
    </row>
    <row r="1454" spans="1:15">
      <c r="L1454" s="26"/>
    </row>
    <row r="1455" spans="1:15">
      <c r="L1455" s="26"/>
    </row>
    <row r="1456" spans="1:15">
      <c r="L1456" s="26">
        <f>SUBTOTAL(9,L5:L1455)</f>
        <v>0</v>
      </c>
      <c r="N1456" s="26"/>
    </row>
    <row r="1457" spans="14:14">
      <c r="N1457" s="26"/>
    </row>
    <row r="1458" spans="14:14">
      <c r="N1458" s="204"/>
    </row>
  </sheetData>
  <autoFilter ref="A4:O1447">
    <filterColumn colId="0">
      <filters>
        <filter val="12"/>
      </filters>
    </filterColumn>
    <filterColumn colId="7">
      <filters>
        <filter val="632"/>
      </filters>
    </filterColumn>
  </autoFilter>
  <sortState ref="A293:P317">
    <sortCondition ref="D293:D317"/>
  </sortState>
  <mergeCells count="11">
    <mergeCell ref="O2:O3"/>
    <mergeCell ref="K2:L2"/>
    <mergeCell ref="M2:N2"/>
    <mergeCell ref="A2:A3"/>
    <mergeCell ref="F2:F3"/>
    <mergeCell ref="I2:I3"/>
    <mergeCell ref="J2:J3"/>
    <mergeCell ref="G2:G3"/>
    <mergeCell ref="H2:H3"/>
    <mergeCell ref="B2:E2"/>
    <mergeCell ref="B3:D3"/>
  </mergeCells>
  <phoneticPr fontId="30" type="noConversion"/>
  <dataValidations count="4">
    <dataValidation type="list" allowBlank="1" showInputMessage="1" showErrorMessage="1" sqref="G808:G66575 G2:G804">
      <formula1>Loai3</formula1>
    </dataValidation>
    <dataValidation type="list" allowBlank="1" showInputMessage="1" showErrorMessage="1" sqref="F809:F66575 F800:F801 F803 F2:F798">
      <formula1>Loai2</formula1>
    </dataValidation>
    <dataValidation type="list" allowBlank="1" showInputMessage="1" showErrorMessage="1" sqref="G805:G807">
      <formula1>IF(RIGHT(D805,2)="NL",DSKH2,DSKH1)</formula1>
    </dataValidation>
    <dataValidation type="list" allowBlank="1" showInputMessage="1" showErrorMessage="1" sqref="C1:C1048576">
      <formula1>"NL,VL,TP"</formula1>
    </dataValidation>
  </dataValidations>
  <pageMargins left="0.7" right="0.16" top="0.19" bottom="0.15" header="0.16" footer="0.15"/>
  <pageSetup orientation="landscape" r:id="rId1"/>
  <headerFooter alignWithMargins="0">
    <oddFooter>&amp;RTrang 1/1</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29"/>
  </sheetPr>
  <dimension ref="A1:P82"/>
  <sheetViews>
    <sheetView topLeftCell="A5" zoomScale="90" workbookViewId="0">
      <pane ySplit="9" topLeftCell="A65" activePane="bottomLeft" state="frozen"/>
      <selection activeCell="A5" sqref="A5"/>
      <selection pane="bottomLeft" activeCell="Q28" sqref="Q28"/>
    </sheetView>
  </sheetViews>
  <sheetFormatPr defaultColWidth="23.85546875" defaultRowHeight="15"/>
  <cols>
    <col min="1" max="1" width="4.28515625" style="9" customWidth="1"/>
    <col min="2" max="2" width="8.5703125" style="9" customWidth="1"/>
    <col min="3" max="3" width="11" style="9" customWidth="1"/>
    <col min="4" max="4" width="41.7109375" style="9" customWidth="1"/>
    <col min="5" max="5" width="8" style="10" customWidth="1"/>
    <col min="6" max="6" width="8.85546875" style="9" customWidth="1"/>
    <col min="7" max="7" width="9" style="9" customWidth="1"/>
    <col min="8" max="8" width="14.140625" style="9" customWidth="1"/>
    <col min="9" max="9" width="8.85546875" style="9" customWidth="1"/>
    <col min="10" max="10" width="13.42578125" style="9" customWidth="1"/>
    <col min="11" max="11" width="10.140625" style="9" customWidth="1"/>
    <col min="12" max="12" width="13" style="9" customWidth="1"/>
    <col min="13" max="13" width="7.140625" style="9" customWidth="1"/>
    <col min="14" max="14" width="2" style="9" customWidth="1"/>
    <col min="15" max="15" width="5.5703125" style="9" customWidth="1"/>
    <col min="16" max="16" width="4.42578125" style="9" customWidth="1"/>
    <col min="17" max="16384" width="23.85546875" style="9"/>
  </cols>
  <sheetData>
    <row r="1" spans="1:15">
      <c r="A1" s="182" t="s">
        <v>226</v>
      </c>
      <c r="E1" s="9"/>
      <c r="O1" s="220"/>
    </row>
    <row r="2" spans="1:15" s="6" customFormat="1" ht="16.5" customHeight="1">
      <c r="B2" s="1" t="s">
        <v>43</v>
      </c>
      <c r="C2" s="2"/>
      <c r="D2" s="3"/>
      <c r="E2" s="58"/>
      <c r="F2" s="8"/>
      <c r="J2" s="518" t="s">
        <v>155</v>
      </c>
      <c r="K2" s="518"/>
      <c r="L2" s="518"/>
      <c r="M2" s="518"/>
      <c r="N2" s="206"/>
    </row>
    <row r="3" spans="1:15" s="6" customFormat="1" ht="16.5" customHeight="1">
      <c r="B3" s="1" t="s">
        <v>45</v>
      </c>
      <c r="C3" s="1"/>
      <c r="D3" s="1"/>
      <c r="E3" s="59"/>
      <c r="F3" s="1"/>
      <c r="J3" s="519" t="s">
        <v>156</v>
      </c>
      <c r="K3" s="519"/>
      <c r="L3" s="519"/>
      <c r="M3" s="519"/>
      <c r="N3" s="207"/>
    </row>
    <row r="4" spans="1:15" s="6" customFormat="1" ht="16.5" customHeight="1">
      <c r="B4" s="1"/>
      <c r="C4" s="1"/>
      <c r="D4" s="1"/>
      <c r="E4" s="59"/>
      <c r="F4" s="1"/>
      <c r="J4" s="519"/>
      <c r="K4" s="519"/>
      <c r="L4" s="519"/>
      <c r="M4" s="519"/>
      <c r="N4" s="207"/>
    </row>
    <row r="5" spans="1:15" ht="18.75" customHeight="1">
      <c r="B5" s="520" t="s">
        <v>0</v>
      </c>
      <c r="C5" s="520"/>
      <c r="D5" s="520"/>
      <c r="E5" s="520"/>
      <c r="F5" s="520"/>
      <c r="G5" s="520"/>
      <c r="H5" s="520"/>
      <c r="I5" s="520"/>
      <c r="J5" s="520"/>
      <c r="K5" s="520"/>
      <c r="L5" s="520"/>
      <c r="M5" s="520"/>
      <c r="N5" s="208"/>
    </row>
    <row r="6" spans="1:15" s="28" customFormat="1" ht="12.75">
      <c r="B6" s="521" t="s">
        <v>131</v>
      </c>
      <c r="C6" s="521"/>
      <c r="D6" s="521"/>
      <c r="E6" s="521"/>
      <c r="F6" s="521"/>
      <c r="G6" s="521"/>
      <c r="H6" s="521"/>
      <c r="I6" s="521"/>
      <c r="J6" s="521"/>
      <c r="K6" s="521"/>
      <c r="L6" s="521"/>
      <c r="M6" s="521"/>
      <c r="N6" s="209"/>
    </row>
    <row r="7" spans="1:15">
      <c r="C7" s="23"/>
      <c r="D7" s="23"/>
      <c r="F7" s="23" t="s">
        <v>280</v>
      </c>
      <c r="G7" s="23"/>
      <c r="H7" s="221" t="s">
        <v>279</v>
      </c>
      <c r="I7" s="23" t="str">
        <f>IF($O$10="NL","Nguyên Liệu",IF($O$10="TP","Thành Phẩm",IF($O$10="VL","Vật Liệu","")))</f>
        <v>Vật Liệu</v>
      </c>
      <c r="J7" s="23"/>
      <c r="K7" s="23"/>
      <c r="L7" s="23"/>
      <c r="M7" s="23"/>
      <c r="N7" s="10"/>
    </row>
    <row r="8" spans="1:15">
      <c r="B8" s="10"/>
      <c r="C8" s="23"/>
      <c r="D8" s="23"/>
      <c r="F8" s="10" t="s">
        <v>93</v>
      </c>
      <c r="H8" s="23"/>
      <c r="I8" s="23"/>
      <c r="J8" s="515" t="s">
        <v>125</v>
      </c>
      <c r="K8" s="515"/>
      <c r="L8" s="515"/>
      <c r="M8" s="23"/>
      <c r="N8" s="23"/>
    </row>
    <row r="9" spans="1:15">
      <c r="D9" s="11"/>
      <c r="E9" s="60"/>
      <c r="F9" s="11"/>
      <c r="G9" s="11"/>
      <c r="H9" s="11"/>
      <c r="I9" s="11"/>
      <c r="J9" s="11"/>
      <c r="K9" s="11" t="s">
        <v>94</v>
      </c>
      <c r="M9" s="55"/>
      <c r="N9" s="215"/>
    </row>
    <row r="10" spans="1:15" ht="15.75" customHeight="1">
      <c r="A10" s="506" t="s">
        <v>30</v>
      </c>
      <c r="B10" s="523" t="s">
        <v>1</v>
      </c>
      <c r="C10" s="523"/>
      <c r="D10" s="505" t="s">
        <v>2</v>
      </c>
      <c r="E10" s="505" t="s">
        <v>3</v>
      </c>
      <c r="F10" s="505" t="s">
        <v>4</v>
      </c>
      <c r="G10" s="516" t="s">
        <v>5</v>
      </c>
      <c r="H10" s="517"/>
      <c r="I10" s="516" t="s">
        <v>6</v>
      </c>
      <c r="J10" s="517"/>
      <c r="K10" s="516" t="s">
        <v>7</v>
      </c>
      <c r="L10" s="517"/>
      <c r="M10" s="505" t="s">
        <v>8</v>
      </c>
      <c r="N10" s="216"/>
      <c r="O10" s="219" t="s">
        <v>224</v>
      </c>
    </row>
    <row r="11" spans="1:15" ht="31.5" customHeight="1">
      <c r="A11" s="506"/>
      <c r="B11" s="181" t="s">
        <v>9</v>
      </c>
      <c r="C11" s="181" t="s">
        <v>10</v>
      </c>
      <c r="D11" s="505"/>
      <c r="E11" s="505"/>
      <c r="F11" s="505"/>
      <c r="G11" s="181" t="s">
        <v>11</v>
      </c>
      <c r="H11" s="181" t="s">
        <v>12</v>
      </c>
      <c r="I11" s="181" t="s">
        <v>11</v>
      </c>
      <c r="J11" s="181" t="s">
        <v>12</v>
      </c>
      <c r="K11" s="181" t="s">
        <v>11</v>
      </c>
      <c r="L11" s="181" t="s">
        <v>12</v>
      </c>
      <c r="M11" s="505"/>
      <c r="N11" s="216"/>
    </row>
    <row r="12" spans="1:15" s="10" customFormat="1">
      <c r="A12" s="54"/>
      <c r="B12" s="12" t="s">
        <v>13</v>
      </c>
      <c r="C12" s="13" t="s">
        <v>14</v>
      </c>
      <c r="D12" s="13" t="s">
        <v>15</v>
      </c>
      <c r="E12" s="12" t="s">
        <v>16</v>
      </c>
      <c r="F12" s="12">
        <v>1</v>
      </c>
      <c r="G12" s="12">
        <v>2</v>
      </c>
      <c r="H12" s="12" t="s">
        <v>17</v>
      </c>
      <c r="I12" s="12">
        <v>4</v>
      </c>
      <c r="J12" s="12" t="s">
        <v>18</v>
      </c>
      <c r="K12" s="12">
        <v>6</v>
      </c>
      <c r="L12" s="12" t="s">
        <v>19</v>
      </c>
      <c r="M12" s="12"/>
      <c r="N12" s="217"/>
    </row>
    <row r="13" spans="1:15">
      <c r="A13" s="14"/>
      <c r="B13" s="14"/>
      <c r="C13" s="14"/>
      <c r="D13" s="15" t="s">
        <v>20</v>
      </c>
      <c r="E13" s="56"/>
      <c r="F13" s="16" t="e">
        <f>L13/K13</f>
        <v>#DIV/0!</v>
      </c>
      <c r="G13" s="16"/>
      <c r="H13" s="16"/>
      <c r="I13" s="16"/>
      <c r="J13" s="16"/>
      <c r="K13" s="149">
        <f>VLOOKUP($J$8,NXT!$C$12:$L$89,3,0)</f>
        <v>0</v>
      </c>
      <c r="L13" s="149">
        <f>VLOOKUP($J$8,NXT!$C$12:$L$89,4,0)</f>
        <v>0</v>
      </c>
      <c r="M13" s="16"/>
      <c r="N13" s="217"/>
    </row>
    <row r="14" spans="1:15">
      <c r="A14" s="24">
        <f ca="1">IF(D14&lt;&gt;"",ROW()-(ROW()-1),"")</f>
        <v>1</v>
      </c>
      <c r="B14" s="150" t="str">
        <f ca="1">IF(ROWS($1:1)&gt;COUNT(_DNL1),"",OFFSET(TH!D$1,SMALL(_DNL1,ROWS($1:1)),)&amp;"/"&amp;OFFSET(TH!C$1,SMALL(_DNL1,ROWS($1:1)),))</f>
        <v>N02/VL</v>
      </c>
      <c r="C14" s="151">
        <f ca="1">IF(ROWS($1:1)&gt;COUNT(_DNL1),"",OFFSET(TH!E$1,SMALL(_DNL1,ROWS($1:1)),))</f>
        <v>42008</v>
      </c>
      <c r="D14" s="152" t="str">
        <f ca="1">IF(ROWS($1:1)&gt;COUNT(_DNL1),"",OFFSET(TH!F$1,SMALL(_DNL1,ROWS($1:1)),))</f>
        <v xml:space="preserve">Túi cá cơm 25g </v>
      </c>
      <c r="E14" s="150" t="str">
        <f ca="1">IF(ROWS($1:1)&gt;COUNT(_DNL1),"",IF(OFFSET(TH!H$1,SMALL(_DNL1,ROWS($1:1)),)="1521",OFFSET(TH!I$1,SMALL(_DNL1,ROWS($1:1)),),OFFSET(TH!H$1,SMALL(_DNL1,ROWS($1:1)),)))</f>
        <v>1522</v>
      </c>
      <c r="F14" s="153">
        <f ca="1">IF(ROWS($1:1)&gt;COUNT(_DNL1),0,OFFSET(TH!J$1,SMALL(_DNL1,ROWS($1:1)),))</f>
        <v>290</v>
      </c>
      <c r="G14" s="153">
        <f ca="1">IF(ROWS($1:1)&gt;COUNT(_DNL1),0,IF(OFFSET(TH!K$1,SMALL(_DNL1,ROWS($1:1)),)&lt;&gt;0,OFFSET(TH!K$1,SMALL(_DNL1,ROWS($1:1)),),0))</f>
        <v>61000</v>
      </c>
      <c r="H14" s="148">
        <f t="shared" ref="H14" ca="1" si="0">ROUND(F14*G14,0)</f>
        <v>17690000</v>
      </c>
      <c r="I14" s="153">
        <f ca="1">IF(ROWS($1:1)&gt;COUNT(_DNL1),0,IF(OFFSET(TH!M$1,SMALL(_DNL1,ROWS($1:1)),)&lt;&gt;0,OFFSET(TH!M$1,SMALL(_DNL1,ROWS($1:1)),),0))</f>
        <v>0</v>
      </c>
      <c r="J14" s="148">
        <f t="shared" ref="J14" ca="1" si="1">ROUND(F14*I14,0)</f>
        <v>0</v>
      </c>
      <c r="K14" s="148">
        <f t="shared" ref="K14" ca="1" si="2">IF(D14&lt;&gt;"",K13+G14-I14,0)</f>
        <v>61000</v>
      </c>
      <c r="L14" s="148">
        <f t="shared" ref="L14" ca="1" si="3">IF(D14&lt;&gt;"",L13+H14-J14,0)</f>
        <v>17690000</v>
      </c>
      <c r="M14" s="148"/>
      <c r="N14" s="217"/>
    </row>
    <row r="15" spans="1:15">
      <c r="A15" s="24">
        <f t="shared" ref="A15:A71" ca="1" si="4">IF(D15&lt;&gt;"",ROW()-(ROW()-1),"")</f>
        <v>1</v>
      </c>
      <c r="B15" s="150" t="str">
        <f ca="1">IF(ROWS($1:2)&gt;COUNT(_DNL1),"",OFFSET(TH!D$1,SMALL(_DNL1,ROWS($1:2)),)&amp;"/"&amp;OFFSET(TH!C$1,SMALL(_DNL1,ROWS($1:2)),))</f>
        <v>N02/VL</v>
      </c>
      <c r="C15" s="151">
        <f ca="1">IF(ROWS($1:2)&gt;COUNT(_DNL1),"",OFFSET(TH!E$1,SMALL(_DNL1,ROWS($1:2)),))</f>
        <v>42042</v>
      </c>
      <c r="D15" s="152" t="str">
        <f ca="1">IF(ROWS($1:2)&gt;COUNT(_DNL1),"",OFFSET(TH!F$1,SMALL(_DNL1,ROWS($1:2)),))</f>
        <v xml:space="preserve">Túi cá cơm 25g </v>
      </c>
      <c r="E15" s="150" t="str">
        <f ca="1">IF(ROWS($1:2)&gt;COUNT(_DNL1),"",IF(OFFSET(TH!H$1,SMALL(_DNL1,ROWS($1:2)),)="1521",OFFSET(TH!I$1,SMALL(_DNL1,ROWS($1:2)),),OFFSET(TH!H$1,SMALL(_DNL1,ROWS($1:2)),)))</f>
        <v>1522</v>
      </c>
      <c r="F15" s="153">
        <f ca="1">IF(ROWS($1:2)&gt;COUNT(_DNL1),0,OFFSET(TH!J$1,SMALL(_DNL1,ROWS($1:2)),))</f>
        <v>290</v>
      </c>
      <c r="G15" s="153">
        <f ca="1">IF(ROWS($1:2)&gt;COUNT(_DNL1),0,IF(OFFSET(TH!K$1,SMALL(_DNL1,ROWS($1:2)),)&lt;&gt;0,OFFSET(TH!K$1,SMALL(_DNL1,ROWS($1:2)),),0))</f>
        <v>136000</v>
      </c>
      <c r="H15" s="148">
        <f t="shared" ref="H15:H71" ca="1" si="5">ROUND(F15*G15,0)</f>
        <v>39440000</v>
      </c>
      <c r="I15" s="153">
        <f ca="1">IF(ROWS($1:2)&gt;COUNT(_DNL1),0,IF(OFFSET(TH!M$1,SMALL(_DNL1,ROWS($1:2)),)&lt;&gt;0,OFFSET(TH!M$1,SMALL(_DNL1,ROWS($1:2)),),0))</f>
        <v>0</v>
      </c>
      <c r="J15" s="148">
        <f t="shared" ref="J15:J71" ca="1" si="6">ROUND(F15*I15,0)</f>
        <v>0</v>
      </c>
      <c r="K15" s="148">
        <f t="shared" ref="K15:K71" ca="1" si="7">IF(D15&lt;&gt;"",K14+G15-I15,0)</f>
        <v>197000</v>
      </c>
      <c r="L15" s="148">
        <f t="shared" ref="L15:L71" ca="1" si="8">IF(D15&lt;&gt;"",L14+H15-J15,0)</f>
        <v>57130000</v>
      </c>
      <c r="M15" s="148"/>
      <c r="N15" s="217"/>
    </row>
    <row r="16" spans="1:15">
      <c r="A16" s="24">
        <f t="shared" ca="1" si="4"/>
        <v>1</v>
      </c>
      <c r="B16" s="150" t="str">
        <f ca="1">IF(ROWS($1:3)&gt;COUNT(_DNL1),"",OFFSET(TH!D$1,SMALL(_DNL1,ROWS($1:3)),)&amp;"/"&amp;OFFSET(TH!C$1,SMALL(_DNL1,ROWS($1:3)),))</f>
        <v>X05/VL</v>
      </c>
      <c r="C16" s="151">
        <f ca="1">IF(ROWS($1:3)&gt;COUNT(_DNL1),"",OFFSET(TH!E$1,SMALL(_DNL1,ROWS($1:3)),))</f>
        <v>42061</v>
      </c>
      <c r="D16" s="152" t="str">
        <f ca="1">IF(ROWS($1:3)&gt;COUNT(_DNL1),"",OFFSET(TH!F$1,SMALL(_DNL1,ROWS($1:3)),))</f>
        <v xml:space="preserve">Túi cá cơm 25g </v>
      </c>
      <c r="E16" s="150" t="str">
        <f ca="1">IF(ROWS($1:3)&gt;COUNT(_DNL1),"",IF(OFFSET(TH!H$1,SMALL(_DNL1,ROWS($1:3)),)="1521",OFFSET(TH!I$1,SMALL(_DNL1,ROWS($1:3)),),OFFSET(TH!H$1,SMALL(_DNL1,ROWS($1:3)),)))</f>
        <v>154</v>
      </c>
      <c r="F16" s="153">
        <f ca="1">IF(ROWS($1:3)&gt;COUNT(_DNL1),0,OFFSET(TH!J$1,SMALL(_DNL1,ROWS($1:3)),))</f>
        <v>290</v>
      </c>
      <c r="G16" s="153">
        <f ca="1">IF(ROWS($1:3)&gt;COUNT(_DNL1),0,IF(OFFSET(TH!K$1,SMALL(_DNL1,ROWS($1:3)),)&lt;&gt;0,OFFSET(TH!K$1,SMALL(_DNL1,ROWS($1:3)),),0))</f>
        <v>0</v>
      </c>
      <c r="H16" s="148">
        <f t="shared" ca="1" si="5"/>
        <v>0</v>
      </c>
      <c r="I16" s="153">
        <f ca="1">IF(ROWS($1:3)&gt;COUNT(_DNL1),0,IF(OFFSET(TH!M$1,SMALL(_DNL1,ROWS($1:3)),)&lt;&gt;0,OFFSET(TH!M$1,SMALL(_DNL1,ROWS($1:3)),),0))</f>
        <v>162000</v>
      </c>
      <c r="J16" s="148">
        <f t="shared" ca="1" si="6"/>
        <v>46980000</v>
      </c>
      <c r="K16" s="148">
        <f t="shared" ca="1" si="7"/>
        <v>35000</v>
      </c>
      <c r="L16" s="148">
        <f t="shared" ca="1" si="8"/>
        <v>10150000</v>
      </c>
      <c r="M16" s="148"/>
      <c r="N16" s="217"/>
    </row>
    <row r="17" spans="1:16">
      <c r="A17" s="24">
        <f t="shared" ca="1" si="4"/>
        <v>1</v>
      </c>
      <c r="B17" s="150" t="str">
        <f ca="1">IF(ROWS($1:4)&gt;COUNT(_DNL1),"",OFFSET(TH!D$1,SMALL(_DNL1,ROWS($1:4)),)&amp;"/"&amp;OFFSET(TH!C$1,SMALL(_DNL1,ROWS($1:4)),))</f>
        <v>N05/VL</v>
      </c>
      <c r="C17" s="151">
        <f ca="1">IF(ROWS($1:4)&gt;COUNT(_DNL1),"",OFFSET(TH!E$1,SMALL(_DNL1,ROWS($1:4)),))</f>
        <v>42081</v>
      </c>
      <c r="D17" s="152" t="str">
        <f ca="1">IF(ROWS($1:4)&gt;COUNT(_DNL1),"",OFFSET(TH!F$1,SMALL(_DNL1,ROWS($1:4)),))</f>
        <v xml:space="preserve">Túi cá cơm 25g </v>
      </c>
      <c r="E17" s="150" t="str">
        <f ca="1">IF(ROWS($1:4)&gt;COUNT(_DNL1),"",IF(OFFSET(TH!H$1,SMALL(_DNL1,ROWS($1:4)),)="1521",OFFSET(TH!I$1,SMALL(_DNL1,ROWS($1:4)),),OFFSET(TH!H$1,SMALL(_DNL1,ROWS($1:4)),)))</f>
        <v>1522</v>
      </c>
      <c r="F17" s="153">
        <f ca="1">IF(ROWS($1:4)&gt;COUNT(_DNL1),0,OFFSET(TH!J$1,SMALL(_DNL1,ROWS($1:4)),))</f>
        <v>290</v>
      </c>
      <c r="G17" s="153">
        <f ca="1">IF(ROWS($1:4)&gt;COUNT(_DNL1),0,IF(OFFSET(TH!K$1,SMALL(_DNL1,ROWS($1:4)),)&lt;&gt;0,OFFSET(TH!K$1,SMALL(_DNL1,ROWS($1:4)),),0))</f>
        <v>30000</v>
      </c>
      <c r="H17" s="148">
        <f t="shared" ca="1" si="5"/>
        <v>8700000</v>
      </c>
      <c r="I17" s="153">
        <f ca="1">IF(ROWS($1:4)&gt;COUNT(_DNL1),0,IF(OFFSET(TH!M$1,SMALL(_DNL1,ROWS($1:4)),)&lt;&gt;0,OFFSET(TH!M$1,SMALL(_DNL1,ROWS($1:4)),),0))</f>
        <v>0</v>
      </c>
      <c r="J17" s="148">
        <f t="shared" ca="1" si="6"/>
        <v>0</v>
      </c>
      <c r="K17" s="148">
        <f t="shared" ca="1" si="7"/>
        <v>65000</v>
      </c>
      <c r="L17" s="148">
        <f t="shared" ca="1" si="8"/>
        <v>18850000</v>
      </c>
      <c r="M17" s="148"/>
      <c r="N17" s="217"/>
      <c r="P17" s="26"/>
    </row>
    <row r="18" spans="1:16">
      <c r="A18" s="24">
        <f t="shared" ca="1" si="4"/>
        <v>1</v>
      </c>
      <c r="B18" s="150" t="str">
        <f ca="1">IF(ROWS($1:5)&gt;COUNT(_DNL1),"",OFFSET(TH!D$1,SMALL(_DNL1,ROWS($1:5)),)&amp;"/"&amp;OFFSET(TH!C$1,SMALL(_DNL1,ROWS($1:5)),))</f>
        <v>N06/VL</v>
      </c>
      <c r="C18" s="151">
        <f ca="1">IF(ROWS($1:5)&gt;COUNT(_DNL1),"",OFFSET(TH!E$1,SMALL(_DNL1,ROWS($1:5)),))</f>
        <v>42082</v>
      </c>
      <c r="D18" s="152" t="str">
        <f ca="1">IF(ROWS($1:5)&gt;COUNT(_DNL1),"",OFFSET(TH!F$1,SMALL(_DNL1,ROWS($1:5)),))</f>
        <v xml:space="preserve">Túi cá cơm 25g </v>
      </c>
      <c r="E18" s="150" t="str">
        <f ca="1">IF(ROWS($1:5)&gt;COUNT(_DNL1),"",IF(OFFSET(TH!H$1,SMALL(_DNL1,ROWS($1:5)),)="1521",OFFSET(TH!I$1,SMALL(_DNL1,ROWS($1:5)),),OFFSET(TH!H$1,SMALL(_DNL1,ROWS($1:5)),)))</f>
        <v>1522</v>
      </c>
      <c r="F18" s="153">
        <f ca="1">IF(ROWS($1:5)&gt;COUNT(_DNL1),0,OFFSET(TH!J$1,SMALL(_DNL1,ROWS($1:5)),))</f>
        <v>290</v>
      </c>
      <c r="G18" s="153">
        <f ca="1">IF(ROWS($1:5)&gt;COUNT(_DNL1),0,IF(OFFSET(TH!K$1,SMALL(_DNL1,ROWS($1:5)),)&lt;&gt;0,OFFSET(TH!K$1,SMALL(_DNL1,ROWS($1:5)),),0))</f>
        <v>71100</v>
      </c>
      <c r="H18" s="148">
        <f t="shared" ca="1" si="5"/>
        <v>20619000</v>
      </c>
      <c r="I18" s="153">
        <f ca="1">IF(ROWS($1:5)&gt;COUNT(_DNL1),0,IF(OFFSET(TH!M$1,SMALL(_DNL1,ROWS($1:5)),)&lt;&gt;0,OFFSET(TH!M$1,SMALL(_DNL1,ROWS($1:5)),),0))</f>
        <v>0</v>
      </c>
      <c r="J18" s="148">
        <f t="shared" ca="1" si="6"/>
        <v>0</v>
      </c>
      <c r="K18" s="148">
        <f t="shared" ca="1" si="7"/>
        <v>136100</v>
      </c>
      <c r="L18" s="148">
        <f t="shared" ca="1" si="8"/>
        <v>39469000</v>
      </c>
      <c r="M18" s="148"/>
      <c r="N18" s="217"/>
    </row>
    <row r="19" spans="1:16">
      <c r="A19" s="24">
        <f t="shared" ca="1" si="4"/>
        <v>1</v>
      </c>
      <c r="B19" s="150" t="str">
        <f ca="1">IF(ROWS($1:6)&gt;COUNT(_DNL1),"",OFFSET(TH!D$1,SMALL(_DNL1,ROWS($1:6)),)&amp;"/"&amp;OFFSET(TH!C$1,SMALL(_DNL1,ROWS($1:6)),))</f>
        <v>X06/VL</v>
      </c>
      <c r="C19" s="151">
        <f ca="1">IF(ROWS($1:6)&gt;COUNT(_DNL1),"",OFFSET(TH!E$1,SMALL(_DNL1,ROWS($1:6)),))</f>
        <v>42078</v>
      </c>
      <c r="D19" s="152" t="str">
        <f ca="1">IF(ROWS($1:6)&gt;COUNT(_DNL1),"",OFFSET(TH!F$1,SMALL(_DNL1,ROWS($1:6)),))</f>
        <v xml:space="preserve">Túi cá cơm 25g </v>
      </c>
      <c r="E19" s="150" t="str">
        <f ca="1">IF(ROWS($1:6)&gt;COUNT(_DNL1),"",IF(OFFSET(TH!H$1,SMALL(_DNL1,ROWS($1:6)),)="1521",OFFSET(TH!I$1,SMALL(_DNL1,ROWS($1:6)),),OFFSET(TH!H$1,SMALL(_DNL1,ROWS($1:6)),)))</f>
        <v>154</v>
      </c>
      <c r="F19" s="153">
        <f ca="1">IF(ROWS($1:6)&gt;COUNT(_DNL1),0,OFFSET(TH!J$1,SMALL(_DNL1,ROWS($1:6)),))</f>
        <v>290</v>
      </c>
      <c r="G19" s="153">
        <f ca="1">IF(ROWS($1:6)&gt;COUNT(_DNL1),0,IF(OFFSET(TH!K$1,SMALL(_DNL1,ROWS($1:6)),)&lt;&gt;0,OFFSET(TH!K$1,SMALL(_DNL1,ROWS($1:6)),),0))</f>
        <v>0</v>
      </c>
      <c r="H19" s="148">
        <f t="shared" ca="1" si="5"/>
        <v>0</v>
      </c>
      <c r="I19" s="153">
        <f ca="1">IF(ROWS($1:6)&gt;COUNT(_DNL1),0,IF(OFFSET(TH!M$1,SMALL(_DNL1,ROWS($1:6)),)&lt;&gt;0,OFFSET(TH!M$1,SMALL(_DNL1,ROWS($1:6)),),0))</f>
        <v>60000</v>
      </c>
      <c r="J19" s="148">
        <f t="shared" ca="1" si="6"/>
        <v>17400000</v>
      </c>
      <c r="K19" s="148">
        <f t="shared" ca="1" si="7"/>
        <v>76100</v>
      </c>
      <c r="L19" s="148">
        <f t="shared" ca="1" si="8"/>
        <v>22069000</v>
      </c>
      <c r="M19" s="148"/>
      <c r="N19" s="217"/>
    </row>
    <row r="20" spans="1:16">
      <c r="A20" s="24">
        <f t="shared" ca="1" si="4"/>
        <v>1</v>
      </c>
      <c r="B20" s="150" t="str">
        <f ca="1">IF(ROWS($1:7)&gt;COUNT(_DNL1),"",OFFSET(TH!D$1,SMALL(_DNL1,ROWS($1:7)),)&amp;"/"&amp;OFFSET(TH!C$1,SMALL(_DNL1,ROWS($1:7)),))</f>
        <v>X06/VL</v>
      </c>
      <c r="C20" s="151">
        <f ca="1">IF(ROWS($1:7)&gt;COUNT(_DNL1),"",OFFSET(TH!E$1,SMALL(_DNL1,ROWS($1:7)),))</f>
        <v>42078</v>
      </c>
      <c r="D20" s="152" t="str">
        <f ca="1">IF(ROWS($1:7)&gt;COUNT(_DNL1),"",OFFSET(TH!F$1,SMALL(_DNL1,ROWS($1:7)),))</f>
        <v xml:space="preserve">Túi cá cơm 25g </v>
      </c>
      <c r="E20" s="150" t="str">
        <f ca="1">IF(ROWS($1:7)&gt;COUNT(_DNL1),"",IF(OFFSET(TH!H$1,SMALL(_DNL1,ROWS($1:7)),)="1521",OFFSET(TH!I$1,SMALL(_DNL1,ROWS($1:7)),),OFFSET(TH!H$1,SMALL(_DNL1,ROWS($1:7)),)))</f>
        <v>154</v>
      </c>
      <c r="F20" s="153">
        <f ca="1">IF(ROWS($1:7)&gt;COUNT(_DNL1),0,OFFSET(TH!J$1,SMALL(_DNL1,ROWS($1:7)),))</f>
        <v>290</v>
      </c>
      <c r="G20" s="153">
        <f ca="1">IF(ROWS($1:7)&gt;COUNT(_DNL1),0,IF(OFFSET(TH!K$1,SMALL(_DNL1,ROWS($1:7)),)&lt;&gt;0,OFFSET(TH!K$1,SMALL(_DNL1,ROWS($1:7)),),0))</f>
        <v>0</v>
      </c>
      <c r="H20" s="148">
        <f t="shared" ca="1" si="5"/>
        <v>0</v>
      </c>
      <c r="I20" s="153">
        <f ca="1">IF(ROWS($1:7)&gt;COUNT(_DNL1),0,IF(OFFSET(TH!M$1,SMALL(_DNL1,ROWS($1:7)),)&lt;&gt;0,OFFSET(TH!M$1,SMALL(_DNL1,ROWS($1:7)),),0))</f>
        <v>57000</v>
      </c>
      <c r="J20" s="148">
        <f t="shared" ca="1" si="6"/>
        <v>16530000</v>
      </c>
      <c r="K20" s="148">
        <f t="shared" ca="1" si="7"/>
        <v>19100</v>
      </c>
      <c r="L20" s="148">
        <f t="shared" ca="1" si="8"/>
        <v>5539000</v>
      </c>
      <c r="M20" s="148"/>
      <c r="N20" s="217"/>
    </row>
    <row r="21" spans="1:16">
      <c r="A21" s="24">
        <f t="shared" ca="1" si="4"/>
        <v>1</v>
      </c>
      <c r="B21" s="150" t="str">
        <f ca="1">IF(ROWS($1:8)&gt;COUNT(_DNL1),"",OFFSET(TH!D$1,SMALL(_DNL1,ROWS($1:8)),)&amp;"/"&amp;OFFSET(TH!C$1,SMALL(_DNL1,ROWS($1:8)),))</f>
        <v>N05/VL</v>
      </c>
      <c r="C21" s="151">
        <f ca="1">IF(ROWS($1:8)&gt;COUNT(_DNL1),"",OFFSET(TH!E$1,SMALL(_DNL1,ROWS($1:8)),))</f>
        <v>42360</v>
      </c>
      <c r="D21" s="152" t="str">
        <f ca="1">IF(ROWS($1:8)&gt;COUNT(_DNL1),"",OFFSET(TH!F$1,SMALL(_DNL1,ROWS($1:8)),))</f>
        <v xml:space="preserve">Túi cá cơm 25g </v>
      </c>
      <c r="E21" s="150" t="str">
        <f ca="1">IF(ROWS($1:8)&gt;COUNT(_DNL1),"",IF(OFFSET(TH!H$1,SMALL(_DNL1,ROWS($1:8)),)="1521",OFFSET(TH!I$1,SMALL(_DNL1,ROWS($1:8)),),OFFSET(TH!H$1,SMALL(_DNL1,ROWS($1:8)),)))</f>
        <v>1522</v>
      </c>
      <c r="F21" s="153">
        <f ca="1">IF(ROWS($1:8)&gt;COUNT(_DNL1),0,OFFSET(TH!J$1,SMALL(_DNL1,ROWS($1:8)),))</f>
        <v>181.82</v>
      </c>
      <c r="G21" s="153">
        <f ca="1">IF(ROWS($1:8)&gt;COUNT(_DNL1),0,IF(OFFSET(TH!K$1,SMALL(_DNL1,ROWS($1:8)),)&lt;&gt;0,OFFSET(TH!K$1,SMALL(_DNL1,ROWS($1:8)),),0))</f>
        <v>89500</v>
      </c>
      <c r="H21" s="148">
        <f t="shared" ca="1" si="5"/>
        <v>16272890</v>
      </c>
      <c r="I21" s="153">
        <f ca="1">IF(ROWS($1:8)&gt;COUNT(_DNL1),0,IF(OFFSET(TH!M$1,SMALL(_DNL1,ROWS($1:8)),)&lt;&gt;0,OFFSET(TH!M$1,SMALL(_DNL1,ROWS($1:8)),),0))</f>
        <v>0</v>
      </c>
      <c r="J21" s="148">
        <f t="shared" ca="1" si="6"/>
        <v>0</v>
      </c>
      <c r="K21" s="148">
        <f t="shared" ca="1" si="7"/>
        <v>108600</v>
      </c>
      <c r="L21" s="148">
        <f t="shared" ca="1" si="8"/>
        <v>21811890</v>
      </c>
      <c r="M21" s="148"/>
      <c r="N21" s="217"/>
    </row>
    <row r="22" spans="1:16">
      <c r="A22" s="24">
        <f t="shared" ca="1" si="4"/>
        <v>1</v>
      </c>
      <c r="B22" s="150" t="str">
        <f ca="1">IF(ROWS($1:9)&gt;COUNT(_DNL1),"",OFFSET(TH!D$1,SMALL(_DNL1,ROWS($1:9)),)&amp;"/"&amp;OFFSET(TH!C$1,SMALL(_DNL1,ROWS($1:9)),))</f>
        <v>X04/VL</v>
      </c>
      <c r="C22" s="151">
        <f ca="1">IF(ROWS($1:9)&gt;COUNT(_DNL1),"",OFFSET(TH!E$1,SMALL(_DNL1,ROWS($1:9)),))</f>
        <v>42348</v>
      </c>
      <c r="D22" s="152" t="str">
        <f ca="1">IF(ROWS($1:9)&gt;COUNT(_DNL1),"",OFFSET(TH!F$1,SMALL(_DNL1,ROWS($1:9)),))</f>
        <v xml:space="preserve">Túi cá cơm 25g </v>
      </c>
      <c r="E22" s="150" t="str">
        <f ca="1">IF(ROWS($1:9)&gt;COUNT(_DNL1),"",IF(OFFSET(TH!H$1,SMALL(_DNL1,ROWS($1:9)),)="1521",OFFSET(TH!I$1,SMALL(_DNL1,ROWS($1:9)),),OFFSET(TH!H$1,SMALL(_DNL1,ROWS($1:9)),)))</f>
        <v>154</v>
      </c>
      <c r="F22" s="153">
        <f ca="1">IF(ROWS($1:9)&gt;COUNT(_DNL1),0,OFFSET(TH!J$1,SMALL(_DNL1,ROWS($1:9)),))</f>
        <v>200.84613259668509</v>
      </c>
      <c r="G22" s="153">
        <f ca="1">IF(ROWS($1:9)&gt;COUNT(_DNL1),0,IF(OFFSET(TH!K$1,SMALL(_DNL1,ROWS($1:9)),)&lt;&gt;0,OFFSET(TH!K$1,SMALL(_DNL1,ROWS($1:9)),),0))</f>
        <v>0</v>
      </c>
      <c r="H22" s="148">
        <f t="shared" ca="1" si="5"/>
        <v>0</v>
      </c>
      <c r="I22" s="153">
        <f ca="1">IF(ROWS($1:9)&gt;COUNT(_DNL1),0,IF(OFFSET(TH!M$1,SMALL(_DNL1,ROWS($1:9)),)&lt;&gt;0,OFFSET(TH!M$1,SMALL(_DNL1,ROWS($1:9)),),0))</f>
        <v>108600</v>
      </c>
      <c r="J22" s="148">
        <f t="shared" ca="1" si="6"/>
        <v>21811890</v>
      </c>
      <c r="K22" s="148">
        <f t="shared" ca="1" si="7"/>
        <v>0</v>
      </c>
      <c r="L22" s="148">
        <f t="shared" ca="1" si="8"/>
        <v>0</v>
      </c>
      <c r="M22" s="148"/>
      <c r="N22" s="217"/>
    </row>
    <row r="23" spans="1:16">
      <c r="A23" s="24" t="str">
        <f t="shared" ca="1" si="4"/>
        <v/>
      </c>
      <c r="B23" s="150" t="str">
        <f ca="1">IF(ROWS($1:10)&gt;COUNT(_DNL1),"",OFFSET(TH!D$1,SMALL(_DNL1,ROWS($1:10)),)&amp;"/"&amp;OFFSET(TH!C$1,SMALL(_DNL1,ROWS($1:10)),))</f>
        <v/>
      </c>
      <c r="C23" s="151" t="str">
        <f ca="1">IF(ROWS($1:10)&gt;COUNT(_DNL1),"",OFFSET(TH!E$1,SMALL(_DNL1,ROWS($1:10)),))</f>
        <v/>
      </c>
      <c r="D23" s="152" t="str">
        <f ca="1">IF(ROWS($1:10)&gt;COUNT(_DNL1),"",OFFSET(TH!F$1,SMALL(_DNL1,ROWS($1:10)),))</f>
        <v/>
      </c>
      <c r="E23" s="150" t="str">
        <f ca="1">IF(ROWS($1:10)&gt;COUNT(_DNL1),"",IF(OFFSET(TH!H$1,SMALL(_DNL1,ROWS($1:10)),)="1521",OFFSET(TH!I$1,SMALL(_DNL1,ROWS($1:10)),),OFFSET(TH!H$1,SMALL(_DNL1,ROWS($1:10)),)))</f>
        <v/>
      </c>
      <c r="F23" s="153">
        <f ca="1">IF(ROWS($1:10)&gt;COUNT(_DNL1),0,OFFSET(TH!J$1,SMALL(_DNL1,ROWS($1:10)),))</f>
        <v>0</v>
      </c>
      <c r="G23" s="153">
        <f ca="1">IF(ROWS($1:10)&gt;COUNT(_DNL1),0,IF(OFFSET(TH!K$1,SMALL(_DNL1,ROWS($1:10)),)&lt;&gt;0,OFFSET(TH!K$1,SMALL(_DNL1,ROWS($1:10)),),0))</f>
        <v>0</v>
      </c>
      <c r="H23" s="148">
        <f t="shared" ca="1" si="5"/>
        <v>0</v>
      </c>
      <c r="I23" s="153">
        <f ca="1">IF(ROWS($1:10)&gt;COUNT(_DNL1),0,IF(OFFSET(TH!M$1,SMALL(_DNL1,ROWS($1:10)),)&lt;&gt;0,OFFSET(TH!M$1,SMALL(_DNL1,ROWS($1:10)),),0))</f>
        <v>0</v>
      </c>
      <c r="J23" s="148">
        <f t="shared" ca="1" si="6"/>
        <v>0</v>
      </c>
      <c r="K23" s="148">
        <f t="shared" ca="1" si="7"/>
        <v>0</v>
      </c>
      <c r="L23" s="148">
        <f t="shared" ca="1" si="8"/>
        <v>0</v>
      </c>
      <c r="M23" s="148"/>
      <c r="N23" s="217"/>
    </row>
    <row r="24" spans="1:16">
      <c r="A24" s="24" t="str">
        <f t="shared" ca="1" si="4"/>
        <v/>
      </c>
      <c r="B24" s="150" t="str">
        <f ca="1">IF(ROWS($1:11)&gt;COUNT(_DNL1),"",OFFSET(TH!D$1,SMALL(_DNL1,ROWS($1:11)),)&amp;"/"&amp;OFFSET(TH!C$1,SMALL(_DNL1,ROWS($1:11)),))</f>
        <v/>
      </c>
      <c r="C24" s="151" t="str">
        <f ca="1">IF(ROWS($1:11)&gt;COUNT(_DNL1),"",OFFSET(TH!E$1,SMALL(_DNL1,ROWS($1:11)),))</f>
        <v/>
      </c>
      <c r="D24" s="152" t="str">
        <f ca="1">IF(ROWS($1:11)&gt;COUNT(_DNL1),"",OFFSET(TH!F$1,SMALL(_DNL1,ROWS($1:11)),))</f>
        <v/>
      </c>
      <c r="E24" s="150" t="str">
        <f ca="1">IF(ROWS($1:11)&gt;COUNT(_DNL1),"",IF(OFFSET(TH!H$1,SMALL(_DNL1,ROWS($1:11)),)="1521",OFFSET(TH!I$1,SMALL(_DNL1,ROWS($1:11)),),OFFSET(TH!H$1,SMALL(_DNL1,ROWS($1:11)),)))</f>
        <v/>
      </c>
      <c r="F24" s="153">
        <f ca="1">IF(ROWS($1:11)&gt;COUNT(_DNL1),0,OFFSET(TH!J$1,SMALL(_DNL1,ROWS($1:11)),))</f>
        <v>0</v>
      </c>
      <c r="G24" s="153">
        <f ca="1">IF(ROWS($1:11)&gt;COUNT(_DNL1),0,IF(OFFSET(TH!K$1,SMALL(_DNL1,ROWS($1:11)),)&lt;&gt;0,OFFSET(TH!K$1,SMALL(_DNL1,ROWS($1:11)),),0))</f>
        <v>0</v>
      </c>
      <c r="H24" s="148">
        <f t="shared" ca="1" si="5"/>
        <v>0</v>
      </c>
      <c r="I24" s="153">
        <f ca="1">IF(ROWS($1:11)&gt;COUNT(_DNL1),0,IF(OFFSET(TH!M$1,SMALL(_DNL1,ROWS($1:11)),)&lt;&gt;0,OFFSET(TH!M$1,SMALL(_DNL1,ROWS($1:11)),),0))</f>
        <v>0</v>
      </c>
      <c r="J24" s="148">
        <f t="shared" ca="1" si="6"/>
        <v>0</v>
      </c>
      <c r="K24" s="148">
        <f t="shared" ca="1" si="7"/>
        <v>0</v>
      </c>
      <c r="L24" s="148">
        <f t="shared" ca="1" si="8"/>
        <v>0</v>
      </c>
      <c r="M24" s="148"/>
      <c r="N24" s="217"/>
    </row>
    <row r="25" spans="1:16">
      <c r="A25" s="24" t="str">
        <f t="shared" ca="1" si="4"/>
        <v/>
      </c>
      <c r="B25" s="150" t="str">
        <f ca="1">IF(ROWS($1:12)&gt;COUNT(_DNL1),"",OFFSET(TH!D$1,SMALL(_DNL1,ROWS($1:12)),)&amp;"/"&amp;OFFSET(TH!C$1,SMALL(_DNL1,ROWS($1:12)),))</f>
        <v/>
      </c>
      <c r="C25" s="151" t="str">
        <f ca="1">IF(ROWS($1:12)&gt;COUNT(_DNL1),"",OFFSET(TH!E$1,SMALL(_DNL1,ROWS($1:12)),))</f>
        <v/>
      </c>
      <c r="D25" s="152" t="str">
        <f ca="1">IF(ROWS($1:12)&gt;COUNT(_DNL1),"",OFFSET(TH!F$1,SMALL(_DNL1,ROWS($1:12)),))</f>
        <v/>
      </c>
      <c r="E25" s="150" t="str">
        <f ca="1">IF(ROWS($1:12)&gt;COUNT(_DNL1),"",IF(OFFSET(TH!H$1,SMALL(_DNL1,ROWS($1:12)),)="1521",OFFSET(TH!I$1,SMALL(_DNL1,ROWS($1:12)),),OFFSET(TH!H$1,SMALL(_DNL1,ROWS($1:12)),)))</f>
        <v/>
      </c>
      <c r="F25" s="153">
        <f ca="1">IF(ROWS($1:12)&gt;COUNT(_DNL1),0,OFFSET(TH!J$1,SMALL(_DNL1,ROWS($1:12)),))</f>
        <v>0</v>
      </c>
      <c r="G25" s="153">
        <f ca="1">IF(ROWS($1:12)&gt;COUNT(_DNL1),0,IF(OFFSET(TH!K$1,SMALL(_DNL1,ROWS($1:12)),)&lt;&gt;0,OFFSET(TH!K$1,SMALL(_DNL1,ROWS($1:12)),),0))</f>
        <v>0</v>
      </c>
      <c r="H25" s="148">
        <f t="shared" ca="1" si="5"/>
        <v>0</v>
      </c>
      <c r="I25" s="153">
        <f ca="1">IF(ROWS($1:12)&gt;COUNT(_DNL1),0,IF(OFFSET(TH!M$1,SMALL(_DNL1,ROWS($1:12)),)&lt;&gt;0,OFFSET(TH!M$1,SMALL(_DNL1,ROWS($1:12)),),0))</f>
        <v>0</v>
      </c>
      <c r="J25" s="148">
        <f t="shared" ca="1" si="6"/>
        <v>0</v>
      </c>
      <c r="K25" s="148">
        <f t="shared" ca="1" si="7"/>
        <v>0</v>
      </c>
      <c r="L25" s="148">
        <f t="shared" ca="1" si="8"/>
        <v>0</v>
      </c>
      <c r="M25" s="148"/>
      <c r="N25" s="217"/>
    </row>
    <row r="26" spans="1:16">
      <c r="A26" s="24" t="str">
        <f t="shared" ca="1" si="4"/>
        <v/>
      </c>
      <c r="B26" s="150" t="str">
        <f ca="1">IF(ROWS($1:13)&gt;COUNT(_DNL1),"",OFFSET(TH!D$1,SMALL(_DNL1,ROWS($1:13)),)&amp;"/"&amp;OFFSET(TH!C$1,SMALL(_DNL1,ROWS($1:13)),))</f>
        <v/>
      </c>
      <c r="C26" s="151" t="str">
        <f ca="1">IF(ROWS($1:13)&gt;COUNT(_DNL1),"",OFFSET(TH!E$1,SMALL(_DNL1,ROWS($1:13)),))</f>
        <v/>
      </c>
      <c r="D26" s="152" t="str">
        <f ca="1">IF(ROWS($1:13)&gt;COUNT(_DNL1),"",OFFSET(TH!F$1,SMALL(_DNL1,ROWS($1:13)),))</f>
        <v/>
      </c>
      <c r="E26" s="150" t="str">
        <f ca="1">IF(ROWS($1:13)&gt;COUNT(_DNL1),"",IF(OFFSET(TH!H$1,SMALL(_DNL1,ROWS($1:13)),)="1521",OFFSET(TH!I$1,SMALL(_DNL1,ROWS($1:13)),),OFFSET(TH!H$1,SMALL(_DNL1,ROWS($1:13)),)))</f>
        <v/>
      </c>
      <c r="F26" s="153">
        <f ca="1">IF(ROWS($1:13)&gt;COUNT(_DNL1),0,OFFSET(TH!J$1,SMALL(_DNL1,ROWS($1:13)),))</f>
        <v>0</v>
      </c>
      <c r="G26" s="153">
        <f ca="1">IF(ROWS($1:13)&gt;COUNT(_DNL1),0,IF(OFFSET(TH!K$1,SMALL(_DNL1,ROWS($1:13)),)&lt;&gt;0,OFFSET(TH!K$1,SMALL(_DNL1,ROWS($1:13)),),0))</f>
        <v>0</v>
      </c>
      <c r="H26" s="148">
        <f t="shared" ca="1" si="5"/>
        <v>0</v>
      </c>
      <c r="I26" s="153">
        <f ca="1">IF(ROWS($1:13)&gt;COUNT(_DNL1),0,IF(OFFSET(TH!M$1,SMALL(_DNL1,ROWS($1:13)),)&lt;&gt;0,OFFSET(TH!M$1,SMALL(_DNL1,ROWS($1:13)),),0))</f>
        <v>0</v>
      </c>
      <c r="J26" s="148">
        <f t="shared" ca="1" si="6"/>
        <v>0</v>
      </c>
      <c r="K26" s="148">
        <f t="shared" ca="1" si="7"/>
        <v>0</v>
      </c>
      <c r="L26" s="148">
        <f t="shared" ca="1" si="8"/>
        <v>0</v>
      </c>
      <c r="M26" s="148"/>
      <c r="N26" s="217"/>
    </row>
    <row r="27" spans="1:16">
      <c r="A27" s="24" t="str">
        <f t="shared" ca="1" si="4"/>
        <v/>
      </c>
      <c r="B27" s="150" t="str">
        <f ca="1">IF(ROWS($1:14)&gt;COUNT(_DNL1),"",OFFSET(TH!D$1,SMALL(_DNL1,ROWS($1:14)),)&amp;"/"&amp;OFFSET(TH!C$1,SMALL(_DNL1,ROWS($1:14)),))</f>
        <v/>
      </c>
      <c r="C27" s="151" t="str">
        <f ca="1">IF(ROWS($1:14)&gt;COUNT(_DNL1),"",OFFSET(TH!E$1,SMALL(_DNL1,ROWS($1:14)),))</f>
        <v/>
      </c>
      <c r="D27" s="152" t="str">
        <f ca="1">IF(ROWS($1:14)&gt;COUNT(_DNL1),"",OFFSET(TH!F$1,SMALL(_DNL1,ROWS($1:14)),))</f>
        <v/>
      </c>
      <c r="E27" s="150" t="str">
        <f ca="1">IF(ROWS($1:14)&gt;COUNT(_DNL1),"",IF(OFFSET(TH!H$1,SMALL(_DNL1,ROWS($1:14)),)="1521",OFFSET(TH!I$1,SMALL(_DNL1,ROWS($1:14)),),OFFSET(TH!H$1,SMALL(_DNL1,ROWS($1:14)),)))</f>
        <v/>
      </c>
      <c r="F27" s="153">
        <f ca="1">IF(ROWS($1:14)&gt;COUNT(_DNL1),0,OFFSET(TH!J$1,SMALL(_DNL1,ROWS($1:14)),))</f>
        <v>0</v>
      </c>
      <c r="G27" s="153">
        <f ca="1">IF(ROWS($1:14)&gt;COUNT(_DNL1),0,IF(OFFSET(TH!K$1,SMALL(_DNL1,ROWS($1:14)),)&lt;&gt;0,OFFSET(TH!K$1,SMALL(_DNL1,ROWS($1:14)),),0))</f>
        <v>0</v>
      </c>
      <c r="H27" s="148">
        <f t="shared" ca="1" si="5"/>
        <v>0</v>
      </c>
      <c r="I27" s="153">
        <f ca="1">IF(ROWS($1:14)&gt;COUNT(_DNL1),0,IF(OFFSET(TH!M$1,SMALL(_DNL1,ROWS($1:14)),)&lt;&gt;0,OFFSET(TH!M$1,SMALL(_DNL1,ROWS($1:14)),),0))</f>
        <v>0</v>
      </c>
      <c r="J27" s="148">
        <f t="shared" ca="1" si="6"/>
        <v>0</v>
      </c>
      <c r="K27" s="148">
        <f t="shared" ca="1" si="7"/>
        <v>0</v>
      </c>
      <c r="L27" s="148">
        <f t="shared" ca="1" si="8"/>
        <v>0</v>
      </c>
      <c r="M27" s="148"/>
      <c r="N27" s="217"/>
    </row>
    <row r="28" spans="1:16">
      <c r="A28" s="24" t="str">
        <f t="shared" ca="1" si="4"/>
        <v/>
      </c>
      <c r="B28" s="150" t="str">
        <f ca="1">IF(ROWS($1:15)&gt;COUNT(_DNL1),"",OFFSET(TH!D$1,SMALL(_DNL1,ROWS($1:15)),)&amp;"/"&amp;OFFSET(TH!C$1,SMALL(_DNL1,ROWS($1:15)),))</f>
        <v/>
      </c>
      <c r="C28" s="151" t="str">
        <f ca="1">IF(ROWS($1:15)&gt;COUNT(_DNL1),"",OFFSET(TH!E$1,SMALL(_DNL1,ROWS($1:15)),))</f>
        <v/>
      </c>
      <c r="D28" s="152" t="str">
        <f ca="1">IF(ROWS($1:15)&gt;COUNT(_DNL1),"",OFFSET(TH!F$1,SMALL(_DNL1,ROWS($1:15)),))</f>
        <v/>
      </c>
      <c r="E28" s="150" t="str">
        <f ca="1">IF(ROWS($1:15)&gt;COUNT(_DNL1),"",IF(OFFSET(TH!H$1,SMALL(_DNL1,ROWS($1:15)),)="1521",OFFSET(TH!I$1,SMALL(_DNL1,ROWS($1:15)),),OFFSET(TH!H$1,SMALL(_DNL1,ROWS($1:15)),)))</f>
        <v/>
      </c>
      <c r="F28" s="153">
        <f ca="1">IF(ROWS($1:15)&gt;COUNT(_DNL1),0,OFFSET(TH!J$1,SMALL(_DNL1,ROWS($1:15)),))</f>
        <v>0</v>
      </c>
      <c r="G28" s="153">
        <f ca="1">IF(ROWS($1:15)&gt;COUNT(_DNL1),0,IF(OFFSET(TH!K$1,SMALL(_DNL1,ROWS($1:15)),)&lt;&gt;0,OFFSET(TH!K$1,SMALL(_DNL1,ROWS($1:15)),),0))</f>
        <v>0</v>
      </c>
      <c r="H28" s="148">
        <f t="shared" ca="1" si="5"/>
        <v>0</v>
      </c>
      <c r="I28" s="153">
        <f ca="1">IF(ROWS($1:15)&gt;COUNT(_DNL1),0,IF(OFFSET(TH!M$1,SMALL(_DNL1,ROWS($1:15)),)&lt;&gt;0,OFFSET(TH!M$1,SMALL(_DNL1,ROWS($1:15)),),0))</f>
        <v>0</v>
      </c>
      <c r="J28" s="148">
        <f t="shared" ca="1" si="6"/>
        <v>0</v>
      </c>
      <c r="K28" s="148">
        <f t="shared" ca="1" si="7"/>
        <v>0</v>
      </c>
      <c r="L28" s="148">
        <f t="shared" ca="1" si="8"/>
        <v>0</v>
      </c>
      <c r="M28" s="148"/>
      <c r="N28" s="217"/>
    </row>
    <row r="29" spans="1:16">
      <c r="A29" s="24" t="str">
        <f t="shared" ca="1" si="4"/>
        <v/>
      </c>
      <c r="B29" s="150" t="str">
        <f ca="1">IF(ROWS($1:16)&gt;COUNT(_DNL1),"",OFFSET(TH!D$1,SMALL(_DNL1,ROWS($1:16)),)&amp;"/"&amp;OFFSET(TH!C$1,SMALL(_DNL1,ROWS($1:16)),))</f>
        <v/>
      </c>
      <c r="C29" s="151" t="str">
        <f ca="1">IF(ROWS($1:16)&gt;COUNT(_DNL1),"",OFFSET(TH!E$1,SMALL(_DNL1,ROWS($1:16)),))</f>
        <v/>
      </c>
      <c r="D29" s="152" t="str">
        <f ca="1">IF(ROWS($1:16)&gt;COUNT(_DNL1),"",OFFSET(TH!F$1,SMALL(_DNL1,ROWS($1:16)),))</f>
        <v/>
      </c>
      <c r="E29" s="150" t="str">
        <f ca="1">IF(ROWS($1:16)&gt;COUNT(_DNL1),"",IF(OFFSET(TH!H$1,SMALL(_DNL1,ROWS($1:16)),)="1521",OFFSET(TH!I$1,SMALL(_DNL1,ROWS($1:16)),),OFFSET(TH!H$1,SMALL(_DNL1,ROWS($1:16)),)))</f>
        <v/>
      </c>
      <c r="F29" s="153">
        <f ca="1">IF(ROWS($1:16)&gt;COUNT(_DNL1),0,OFFSET(TH!J$1,SMALL(_DNL1,ROWS($1:16)),))</f>
        <v>0</v>
      </c>
      <c r="G29" s="153">
        <f ca="1">IF(ROWS($1:16)&gt;COUNT(_DNL1),0,IF(OFFSET(TH!K$1,SMALL(_DNL1,ROWS($1:16)),)&lt;&gt;0,OFFSET(TH!K$1,SMALL(_DNL1,ROWS($1:16)),),0))</f>
        <v>0</v>
      </c>
      <c r="H29" s="148">
        <f t="shared" ca="1" si="5"/>
        <v>0</v>
      </c>
      <c r="I29" s="153">
        <f ca="1">IF(ROWS($1:16)&gt;COUNT(_DNL1),0,IF(OFFSET(TH!M$1,SMALL(_DNL1,ROWS($1:16)),)&lt;&gt;0,OFFSET(TH!M$1,SMALL(_DNL1,ROWS($1:16)),),0))</f>
        <v>0</v>
      </c>
      <c r="J29" s="148">
        <f t="shared" ca="1" si="6"/>
        <v>0</v>
      </c>
      <c r="K29" s="148">
        <f t="shared" ca="1" si="7"/>
        <v>0</v>
      </c>
      <c r="L29" s="148">
        <f t="shared" ca="1" si="8"/>
        <v>0</v>
      </c>
      <c r="M29" s="148"/>
      <c r="N29" s="217"/>
    </row>
    <row r="30" spans="1:16">
      <c r="A30" s="24" t="str">
        <f t="shared" ca="1" si="4"/>
        <v/>
      </c>
      <c r="B30" s="150" t="str">
        <f ca="1">IF(ROWS($1:17)&gt;COUNT(_DNL1),"",OFFSET(TH!D$1,SMALL(_DNL1,ROWS($1:17)),)&amp;"/"&amp;OFFSET(TH!C$1,SMALL(_DNL1,ROWS($1:17)),))</f>
        <v/>
      </c>
      <c r="C30" s="151" t="str">
        <f ca="1">IF(ROWS($1:17)&gt;COUNT(_DNL1),"",OFFSET(TH!E$1,SMALL(_DNL1,ROWS($1:17)),))</f>
        <v/>
      </c>
      <c r="D30" s="152" t="str">
        <f ca="1">IF(ROWS($1:17)&gt;COUNT(_DNL1),"",OFFSET(TH!F$1,SMALL(_DNL1,ROWS($1:17)),))</f>
        <v/>
      </c>
      <c r="E30" s="150" t="str">
        <f ca="1">IF(ROWS($1:17)&gt;COUNT(_DNL1),"",IF(OFFSET(TH!H$1,SMALL(_DNL1,ROWS($1:17)),)="1521",OFFSET(TH!I$1,SMALL(_DNL1,ROWS($1:17)),),OFFSET(TH!H$1,SMALL(_DNL1,ROWS($1:17)),)))</f>
        <v/>
      </c>
      <c r="F30" s="153">
        <f ca="1">IF(ROWS($1:17)&gt;COUNT(_DNL1),0,OFFSET(TH!J$1,SMALL(_DNL1,ROWS($1:17)),))</f>
        <v>0</v>
      </c>
      <c r="G30" s="153">
        <f ca="1">IF(ROWS($1:17)&gt;COUNT(_DNL1),0,IF(OFFSET(TH!K$1,SMALL(_DNL1,ROWS($1:17)),)&lt;&gt;0,OFFSET(TH!K$1,SMALL(_DNL1,ROWS($1:17)),),0))</f>
        <v>0</v>
      </c>
      <c r="H30" s="148">
        <f t="shared" ca="1" si="5"/>
        <v>0</v>
      </c>
      <c r="I30" s="153">
        <f ca="1">IF(ROWS($1:17)&gt;COUNT(_DNL1),0,IF(OFFSET(TH!M$1,SMALL(_DNL1,ROWS($1:17)),)&lt;&gt;0,OFFSET(TH!M$1,SMALL(_DNL1,ROWS($1:17)),),0))</f>
        <v>0</v>
      </c>
      <c r="J30" s="148">
        <f t="shared" ca="1" si="6"/>
        <v>0</v>
      </c>
      <c r="K30" s="148">
        <f t="shared" ca="1" si="7"/>
        <v>0</v>
      </c>
      <c r="L30" s="148">
        <f t="shared" ca="1" si="8"/>
        <v>0</v>
      </c>
      <c r="M30" s="148"/>
      <c r="N30" s="217"/>
    </row>
    <row r="31" spans="1:16">
      <c r="A31" s="24" t="str">
        <f t="shared" ca="1" si="4"/>
        <v/>
      </c>
      <c r="B31" s="150" t="str">
        <f ca="1">IF(ROWS($1:18)&gt;COUNT(_DNL1),"",OFFSET(TH!D$1,SMALL(_DNL1,ROWS($1:18)),)&amp;"/"&amp;OFFSET(TH!C$1,SMALL(_DNL1,ROWS($1:18)),))</f>
        <v/>
      </c>
      <c r="C31" s="151" t="str">
        <f ca="1">IF(ROWS($1:18)&gt;COUNT(_DNL1),"",OFFSET(TH!E$1,SMALL(_DNL1,ROWS($1:18)),))</f>
        <v/>
      </c>
      <c r="D31" s="152" t="str">
        <f ca="1">IF(ROWS($1:18)&gt;COUNT(_DNL1),"",OFFSET(TH!F$1,SMALL(_DNL1,ROWS($1:18)),))</f>
        <v/>
      </c>
      <c r="E31" s="150" t="str">
        <f ca="1">IF(ROWS($1:18)&gt;COUNT(_DNL1),"",IF(OFFSET(TH!H$1,SMALL(_DNL1,ROWS($1:18)),)="1521",OFFSET(TH!I$1,SMALL(_DNL1,ROWS($1:18)),),OFFSET(TH!H$1,SMALL(_DNL1,ROWS($1:18)),)))</f>
        <v/>
      </c>
      <c r="F31" s="153">
        <f ca="1">IF(ROWS($1:18)&gt;COUNT(_DNL1),0,OFFSET(TH!J$1,SMALL(_DNL1,ROWS($1:18)),))</f>
        <v>0</v>
      </c>
      <c r="G31" s="153">
        <f ca="1">IF(ROWS($1:18)&gt;COUNT(_DNL1),0,IF(OFFSET(TH!K$1,SMALL(_DNL1,ROWS($1:18)),)&lt;&gt;0,OFFSET(TH!K$1,SMALL(_DNL1,ROWS($1:18)),),0))</f>
        <v>0</v>
      </c>
      <c r="H31" s="148">
        <f t="shared" ca="1" si="5"/>
        <v>0</v>
      </c>
      <c r="I31" s="153">
        <f ca="1">IF(ROWS($1:18)&gt;COUNT(_DNL1),0,IF(OFFSET(TH!M$1,SMALL(_DNL1,ROWS($1:18)),)&lt;&gt;0,OFFSET(TH!M$1,SMALL(_DNL1,ROWS($1:18)),),0))</f>
        <v>0</v>
      </c>
      <c r="J31" s="148">
        <f t="shared" ca="1" si="6"/>
        <v>0</v>
      </c>
      <c r="K31" s="148">
        <f t="shared" ca="1" si="7"/>
        <v>0</v>
      </c>
      <c r="L31" s="148">
        <f t="shared" ca="1" si="8"/>
        <v>0</v>
      </c>
      <c r="M31" s="148"/>
      <c r="N31" s="217"/>
    </row>
    <row r="32" spans="1:16">
      <c r="A32" s="24" t="str">
        <f t="shared" ca="1" si="4"/>
        <v/>
      </c>
      <c r="B32" s="150" t="str">
        <f ca="1">IF(ROWS($1:19)&gt;COUNT(_DNL1),"",OFFSET(TH!D$1,SMALL(_DNL1,ROWS($1:19)),)&amp;"/"&amp;OFFSET(TH!C$1,SMALL(_DNL1,ROWS($1:19)),))</f>
        <v/>
      </c>
      <c r="C32" s="151" t="str">
        <f ca="1">IF(ROWS($1:19)&gt;COUNT(_DNL1),"",OFFSET(TH!E$1,SMALL(_DNL1,ROWS($1:19)),))</f>
        <v/>
      </c>
      <c r="D32" s="152" t="str">
        <f ca="1">IF(ROWS($1:19)&gt;COUNT(_DNL1),"",OFFSET(TH!F$1,SMALL(_DNL1,ROWS($1:19)),))</f>
        <v/>
      </c>
      <c r="E32" s="150" t="str">
        <f ca="1">IF(ROWS($1:19)&gt;COUNT(_DNL1),"",IF(OFFSET(TH!H$1,SMALL(_DNL1,ROWS($1:19)),)="1521",OFFSET(TH!I$1,SMALL(_DNL1,ROWS($1:19)),),OFFSET(TH!H$1,SMALL(_DNL1,ROWS($1:19)),)))</f>
        <v/>
      </c>
      <c r="F32" s="153">
        <f ca="1">IF(ROWS($1:19)&gt;COUNT(_DNL1),0,OFFSET(TH!J$1,SMALL(_DNL1,ROWS($1:19)),))</f>
        <v>0</v>
      </c>
      <c r="G32" s="153">
        <f ca="1">IF(ROWS($1:19)&gt;COUNT(_DNL1),0,IF(OFFSET(TH!K$1,SMALL(_DNL1,ROWS($1:19)),)&lt;&gt;0,OFFSET(TH!K$1,SMALL(_DNL1,ROWS($1:19)),),0))</f>
        <v>0</v>
      </c>
      <c r="H32" s="148">
        <f t="shared" ca="1" si="5"/>
        <v>0</v>
      </c>
      <c r="I32" s="153">
        <f ca="1">IF(ROWS($1:19)&gt;COUNT(_DNL1),0,IF(OFFSET(TH!M$1,SMALL(_DNL1,ROWS($1:19)),)&lt;&gt;0,OFFSET(TH!M$1,SMALL(_DNL1,ROWS($1:19)),),0))</f>
        <v>0</v>
      </c>
      <c r="J32" s="148">
        <f t="shared" ca="1" si="6"/>
        <v>0</v>
      </c>
      <c r="K32" s="148">
        <f t="shared" ca="1" si="7"/>
        <v>0</v>
      </c>
      <c r="L32" s="148">
        <f t="shared" ca="1" si="8"/>
        <v>0</v>
      </c>
      <c r="M32" s="148"/>
      <c r="N32" s="217"/>
    </row>
    <row r="33" spans="1:14">
      <c r="A33" s="24" t="str">
        <f t="shared" ca="1" si="4"/>
        <v/>
      </c>
      <c r="B33" s="150" t="str">
        <f ca="1">IF(ROWS($1:20)&gt;COUNT(_DNL1),"",OFFSET(TH!D$1,SMALL(_DNL1,ROWS($1:20)),)&amp;"/"&amp;OFFSET(TH!C$1,SMALL(_DNL1,ROWS($1:20)),))</f>
        <v/>
      </c>
      <c r="C33" s="151" t="str">
        <f ca="1">IF(ROWS($1:20)&gt;COUNT(_DNL1),"",OFFSET(TH!E$1,SMALL(_DNL1,ROWS($1:20)),))</f>
        <v/>
      </c>
      <c r="D33" s="152" t="str">
        <f ca="1">IF(ROWS($1:20)&gt;COUNT(_DNL1),"",OFFSET(TH!F$1,SMALL(_DNL1,ROWS($1:20)),))</f>
        <v/>
      </c>
      <c r="E33" s="150" t="str">
        <f ca="1">IF(ROWS($1:20)&gt;COUNT(_DNL1),"",IF(OFFSET(TH!H$1,SMALL(_DNL1,ROWS($1:20)),)="1521",OFFSET(TH!I$1,SMALL(_DNL1,ROWS($1:20)),),OFFSET(TH!H$1,SMALL(_DNL1,ROWS($1:20)),)))</f>
        <v/>
      </c>
      <c r="F33" s="153">
        <f ca="1">IF(ROWS($1:20)&gt;COUNT(_DNL1),0,OFFSET(TH!J$1,SMALL(_DNL1,ROWS($1:20)),))</f>
        <v>0</v>
      </c>
      <c r="G33" s="153">
        <f ca="1">IF(ROWS($1:20)&gt;COUNT(_DNL1),0,IF(OFFSET(TH!K$1,SMALL(_DNL1,ROWS($1:20)),)&lt;&gt;0,OFFSET(TH!K$1,SMALL(_DNL1,ROWS($1:20)),),0))</f>
        <v>0</v>
      </c>
      <c r="H33" s="148">
        <f t="shared" ca="1" si="5"/>
        <v>0</v>
      </c>
      <c r="I33" s="153">
        <f ca="1">IF(ROWS($1:20)&gt;COUNT(_DNL1),0,IF(OFFSET(TH!M$1,SMALL(_DNL1,ROWS($1:20)),)&lt;&gt;0,OFFSET(TH!M$1,SMALL(_DNL1,ROWS($1:20)),),0))</f>
        <v>0</v>
      </c>
      <c r="J33" s="148">
        <f t="shared" ca="1" si="6"/>
        <v>0</v>
      </c>
      <c r="K33" s="148">
        <f t="shared" ca="1" si="7"/>
        <v>0</v>
      </c>
      <c r="L33" s="148">
        <f t="shared" ca="1" si="8"/>
        <v>0</v>
      </c>
      <c r="M33" s="148"/>
      <c r="N33" s="217"/>
    </row>
    <row r="34" spans="1:14">
      <c r="A34" s="24" t="str">
        <f t="shared" ca="1" si="4"/>
        <v/>
      </c>
      <c r="B34" s="150" t="str">
        <f ca="1">IF(ROWS($1:21)&gt;COUNT(_DNL1),"",OFFSET(TH!D$1,SMALL(_DNL1,ROWS($1:21)),)&amp;"/"&amp;OFFSET(TH!C$1,SMALL(_DNL1,ROWS($1:21)),))</f>
        <v/>
      </c>
      <c r="C34" s="151" t="str">
        <f ca="1">IF(ROWS($1:21)&gt;COUNT(_DNL1),"",OFFSET(TH!E$1,SMALL(_DNL1,ROWS($1:21)),))</f>
        <v/>
      </c>
      <c r="D34" s="152" t="str">
        <f ca="1">IF(ROWS($1:21)&gt;COUNT(_DNL1),"",OFFSET(TH!F$1,SMALL(_DNL1,ROWS($1:21)),))</f>
        <v/>
      </c>
      <c r="E34" s="150" t="str">
        <f ca="1">IF(ROWS($1:21)&gt;COUNT(_DNL1),"",IF(OFFSET(TH!H$1,SMALL(_DNL1,ROWS($1:21)),)="1521",OFFSET(TH!I$1,SMALL(_DNL1,ROWS($1:21)),),OFFSET(TH!H$1,SMALL(_DNL1,ROWS($1:21)),)))</f>
        <v/>
      </c>
      <c r="F34" s="153">
        <f ca="1">IF(ROWS($1:21)&gt;COUNT(_DNL1),0,OFFSET(TH!J$1,SMALL(_DNL1,ROWS($1:21)),))</f>
        <v>0</v>
      </c>
      <c r="G34" s="153">
        <f ca="1">IF(ROWS($1:21)&gt;COUNT(_DNL1),0,IF(OFFSET(TH!K$1,SMALL(_DNL1,ROWS($1:21)),)&lt;&gt;0,OFFSET(TH!K$1,SMALL(_DNL1,ROWS($1:21)),),0))</f>
        <v>0</v>
      </c>
      <c r="H34" s="148">
        <f t="shared" ca="1" si="5"/>
        <v>0</v>
      </c>
      <c r="I34" s="153">
        <f ca="1">IF(ROWS($1:21)&gt;COUNT(_DNL1),0,IF(OFFSET(TH!M$1,SMALL(_DNL1,ROWS($1:21)),)&lt;&gt;0,OFFSET(TH!M$1,SMALL(_DNL1,ROWS($1:21)),),0))</f>
        <v>0</v>
      </c>
      <c r="J34" s="148">
        <f t="shared" ca="1" si="6"/>
        <v>0</v>
      </c>
      <c r="K34" s="148">
        <f t="shared" ca="1" si="7"/>
        <v>0</v>
      </c>
      <c r="L34" s="148">
        <f t="shared" ca="1" si="8"/>
        <v>0</v>
      </c>
      <c r="M34" s="148"/>
      <c r="N34" s="217"/>
    </row>
    <row r="35" spans="1:14">
      <c r="A35" s="24" t="str">
        <f t="shared" ca="1" si="4"/>
        <v/>
      </c>
      <c r="B35" s="150" t="str">
        <f ca="1">IF(ROWS($1:22)&gt;COUNT(_DNL1),"",OFFSET(TH!D$1,SMALL(_DNL1,ROWS($1:22)),)&amp;"/"&amp;OFFSET(TH!C$1,SMALL(_DNL1,ROWS($1:22)),))</f>
        <v/>
      </c>
      <c r="C35" s="151" t="str">
        <f ca="1">IF(ROWS($1:22)&gt;COUNT(_DNL1),"",OFFSET(TH!E$1,SMALL(_DNL1,ROWS($1:22)),))</f>
        <v/>
      </c>
      <c r="D35" s="152" t="str">
        <f ca="1">IF(ROWS($1:22)&gt;COUNT(_DNL1),"",OFFSET(TH!F$1,SMALL(_DNL1,ROWS($1:22)),))</f>
        <v/>
      </c>
      <c r="E35" s="150" t="str">
        <f ca="1">IF(ROWS($1:22)&gt;COUNT(_DNL1),"",IF(OFFSET(TH!H$1,SMALL(_DNL1,ROWS($1:22)),)="1521",OFFSET(TH!I$1,SMALL(_DNL1,ROWS($1:22)),),OFFSET(TH!H$1,SMALL(_DNL1,ROWS($1:22)),)))</f>
        <v/>
      </c>
      <c r="F35" s="153">
        <f ca="1">IF(ROWS($1:22)&gt;COUNT(_DNL1),0,OFFSET(TH!J$1,SMALL(_DNL1,ROWS($1:22)),))</f>
        <v>0</v>
      </c>
      <c r="G35" s="153">
        <f ca="1">IF(ROWS($1:22)&gt;COUNT(_DNL1),0,IF(OFFSET(TH!K$1,SMALL(_DNL1,ROWS($1:22)),)&lt;&gt;0,OFFSET(TH!K$1,SMALL(_DNL1,ROWS($1:22)),),0))</f>
        <v>0</v>
      </c>
      <c r="H35" s="148">
        <f t="shared" ca="1" si="5"/>
        <v>0</v>
      </c>
      <c r="I35" s="153">
        <f ca="1">IF(ROWS($1:22)&gt;COUNT(_DNL1),0,IF(OFFSET(TH!M$1,SMALL(_DNL1,ROWS($1:22)),)&lt;&gt;0,OFFSET(TH!M$1,SMALL(_DNL1,ROWS($1:22)),),0))</f>
        <v>0</v>
      </c>
      <c r="J35" s="148">
        <f t="shared" ca="1" si="6"/>
        <v>0</v>
      </c>
      <c r="K35" s="148">
        <f t="shared" ca="1" si="7"/>
        <v>0</v>
      </c>
      <c r="L35" s="148">
        <f t="shared" ca="1" si="8"/>
        <v>0</v>
      </c>
      <c r="M35" s="148"/>
      <c r="N35" s="217"/>
    </row>
    <row r="36" spans="1:14">
      <c r="A36" s="24" t="str">
        <f t="shared" ca="1" si="4"/>
        <v/>
      </c>
      <c r="B36" s="150" t="str">
        <f ca="1">IF(ROWS($1:23)&gt;COUNT(_DNL1),"",OFFSET(TH!D$1,SMALL(_DNL1,ROWS($1:23)),)&amp;"/"&amp;OFFSET(TH!C$1,SMALL(_DNL1,ROWS($1:23)),))</f>
        <v/>
      </c>
      <c r="C36" s="151" t="str">
        <f ca="1">IF(ROWS($1:23)&gt;COUNT(_DNL1),"",OFFSET(TH!E$1,SMALL(_DNL1,ROWS($1:23)),))</f>
        <v/>
      </c>
      <c r="D36" s="152" t="str">
        <f ca="1">IF(ROWS($1:23)&gt;COUNT(_DNL1),"",OFFSET(TH!F$1,SMALL(_DNL1,ROWS($1:23)),))</f>
        <v/>
      </c>
      <c r="E36" s="150" t="str">
        <f ca="1">IF(ROWS($1:23)&gt;COUNT(_DNL1),"",IF(OFFSET(TH!H$1,SMALL(_DNL1,ROWS($1:23)),)="1521",OFFSET(TH!I$1,SMALL(_DNL1,ROWS($1:23)),),OFFSET(TH!H$1,SMALL(_DNL1,ROWS($1:23)),)))</f>
        <v/>
      </c>
      <c r="F36" s="153">
        <f ca="1">IF(ROWS($1:23)&gt;COUNT(_DNL1),0,OFFSET(TH!J$1,SMALL(_DNL1,ROWS($1:23)),))</f>
        <v>0</v>
      </c>
      <c r="G36" s="153">
        <f ca="1">IF(ROWS($1:23)&gt;COUNT(_DNL1),0,IF(OFFSET(TH!K$1,SMALL(_DNL1,ROWS($1:23)),)&lt;&gt;0,OFFSET(TH!K$1,SMALL(_DNL1,ROWS($1:23)),),0))</f>
        <v>0</v>
      </c>
      <c r="H36" s="148">
        <f t="shared" ca="1" si="5"/>
        <v>0</v>
      </c>
      <c r="I36" s="153">
        <f ca="1">IF(ROWS($1:23)&gt;COUNT(_DNL1),0,IF(OFFSET(TH!M$1,SMALL(_DNL1,ROWS($1:23)),)&lt;&gt;0,OFFSET(TH!M$1,SMALL(_DNL1,ROWS($1:23)),),0))</f>
        <v>0</v>
      </c>
      <c r="J36" s="148">
        <f t="shared" ca="1" si="6"/>
        <v>0</v>
      </c>
      <c r="K36" s="148">
        <f t="shared" ca="1" si="7"/>
        <v>0</v>
      </c>
      <c r="L36" s="148">
        <f t="shared" ca="1" si="8"/>
        <v>0</v>
      </c>
      <c r="M36" s="148"/>
      <c r="N36" s="217"/>
    </row>
    <row r="37" spans="1:14">
      <c r="A37" s="24" t="str">
        <f t="shared" ca="1" si="4"/>
        <v/>
      </c>
      <c r="B37" s="150" t="str">
        <f ca="1">IF(ROWS($1:24)&gt;COUNT(_DNL1),"",OFFSET(TH!D$1,SMALL(_DNL1,ROWS($1:24)),)&amp;"/"&amp;OFFSET(TH!C$1,SMALL(_DNL1,ROWS($1:24)),))</f>
        <v/>
      </c>
      <c r="C37" s="151" t="str">
        <f ca="1">IF(ROWS($1:24)&gt;COUNT(_DNL1),"",OFFSET(TH!E$1,SMALL(_DNL1,ROWS($1:24)),))</f>
        <v/>
      </c>
      <c r="D37" s="152" t="str">
        <f ca="1">IF(ROWS($1:24)&gt;COUNT(_DNL1),"",OFFSET(TH!F$1,SMALL(_DNL1,ROWS($1:24)),))</f>
        <v/>
      </c>
      <c r="E37" s="150" t="str">
        <f ca="1">IF(ROWS($1:24)&gt;COUNT(_DNL1),"",IF(OFFSET(TH!H$1,SMALL(_DNL1,ROWS($1:24)),)="1521",OFFSET(TH!I$1,SMALL(_DNL1,ROWS($1:24)),),OFFSET(TH!H$1,SMALL(_DNL1,ROWS($1:24)),)))</f>
        <v/>
      </c>
      <c r="F37" s="153">
        <f ca="1">IF(ROWS($1:24)&gt;COUNT(_DNL1),0,OFFSET(TH!J$1,SMALL(_DNL1,ROWS($1:24)),))</f>
        <v>0</v>
      </c>
      <c r="G37" s="153">
        <f ca="1">IF(ROWS($1:24)&gt;COUNT(_DNL1),0,IF(OFFSET(TH!K$1,SMALL(_DNL1,ROWS($1:24)),)&lt;&gt;0,OFFSET(TH!K$1,SMALL(_DNL1,ROWS($1:24)),),0))</f>
        <v>0</v>
      </c>
      <c r="H37" s="148">
        <f t="shared" ca="1" si="5"/>
        <v>0</v>
      </c>
      <c r="I37" s="153">
        <f ca="1">IF(ROWS($1:24)&gt;COUNT(_DNL1),0,IF(OFFSET(TH!M$1,SMALL(_DNL1,ROWS($1:24)),)&lt;&gt;0,OFFSET(TH!M$1,SMALL(_DNL1,ROWS($1:24)),),0))</f>
        <v>0</v>
      </c>
      <c r="J37" s="148">
        <f t="shared" ca="1" si="6"/>
        <v>0</v>
      </c>
      <c r="K37" s="148">
        <f t="shared" ca="1" si="7"/>
        <v>0</v>
      </c>
      <c r="L37" s="148">
        <f t="shared" ca="1" si="8"/>
        <v>0</v>
      </c>
      <c r="M37" s="148"/>
      <c r="N37" s="217"/>
    </row>
    <row r="38" spans="1:14">
      <c r="A38" s="24" t="str">
        <f t="shared" ca="1" si="4"/>
        <v/>
      </c>
      <c r="B38" s="150" t="str">
        <f ca="1">IF(ROWS($1:25)&gt;COUNT(_DNL1),"",OFFSET(TH!D$1,SMALL(_DNL1,ROWS($1:25)),)&amp;"/"&amp;OFFSET(TH!C$1,SMALL(_DNL1,ROWS($1:25)),))</f>
        <v/>
      </c>
      <c r="C38" s="151" t="str">
        <f ca="1">IF(ROWS($1:25)&gt;COUNT(_DNL1),"",OFFSET(TH!E$1,SMALL(_DNL1,ROWS($1:25)),))</f>
        <v/>
      </c>
      <c r="D38" s="152" t="str">
        <f ca="1">IF(ROWS($1:25)&gt;COUNT(_DNL1),"",OFFSET(TH!F$1,SMALL(_DNL1,ROWS($1:25)),))</f>
        <v/>
      </c>
      <c r="E38" s="150" t="str">
        <f ca="1">IF(ROWS($1:25)&gt;COUNT(_DNL1),"",IF(OFFSET(TH!H$1,SMALL(_DNL1,ROWS($1:25)),)="1521",OFFSET(TH!I$1,SMALL(_DNL1,ROWS($1:25)),),OFFSET(TH!H$1,SMALL(_DNL1,ROWS($1:25)),)))</f>
        <v/>
      </c>
      <c r="F38" s="153">
        <f ca="1">IF(ROWS($1:25)&gt;COUNT(_DNL1),0,OFFSET(TH!J$1,SMALL(_DNL1,ROWS($1:25)),))</f>
        <v>0</v>
      </c>
      <c r="G38" s="153">
        <f ca="1">IF(ROWS($1:25)&gt;COUNT(_DNL1),0,IF(OFFSET(TH!K$1,SMALL(_DNL1,ROWS($1:25)),)&lt;&gt;0,OFFSET(TH!K$1,SMALL(_DNL1,ROWS($1:25)),),0))</f>
        <v>0</v>
      </c>
      <c r="H38" s="148">
        <f t="shared" ca="1" si="5"/>
        <v>0</v>
      </c>
      <c r="I38" s="153">
        <f ca="1">IF(ROWS($1:25)&gt;COUNT(_DNL1),0,IF(OFFSET(TH!M$1,SMALL(_DNL1,ROWS($1:25)),)&lt;&gt;0,OFFSET(TH!M$1,SMALL(_DNL1,ROWS($1:25)),),0))</f>
        <v>0</v>
      </c>
      <c r="J38" s="148">
        <f t="shared" ca="1" si="6"/>
        <v>0</v>
      </c>
      <c r="K38" s="148">
        <f t="shared" ca="1" si="7"/>
        <v>0</v>
      </c>
      <c r="L38" s="148">
        <f t="shared" ca="1" si="8"/>
        <v>0</v>
      </c>
      <c r="M38" s="148"/>
      <c r="N38" s="217"/>
    </row>
    <row r="39" spans="1:14">
      <c r="A39" s="24" t="str">
        <f t="shared" ca="1" si="4"/>
        <v/>
      </c>
      <c r="B39" s="150" t="str">
        <f ca="1">IF(ROWS($1:26)&gt;COUNT(_DNL1),"",OFFSET(TH!D$1,SMALL(_DNL1,ROWS($1:26)),)&amp;"/"&amp;OFFSET(TH!C$1,SMALL(_DNL1,ROWS($1:26)),))</f>
        <v/>
      </c>
      <c r="C39" s="151" t="str">
        <f ca="1">IF(ROWS($1:26)&gt;COUNT(_DNL1),"",OFFSET(TH!E$1,SMALL(_DNL1,ROWS($1:26)),))</f>
        <v/>
      </c>
      <c r="D39" s="152" t="str">
        <f ca="1">IF(ROWS($1:26)&gt;COUNT(_DNL1),"",OFFSET(TH!F$1,SMALL(_DNL1,ROWS($1:26)),))</f>
        <v/>
      </c>
      <c r="E39" s="150" t="str">
        <f ca="1">IF(ROWS($1:26)&gt;COUNT(_DNL1),"",IF(OFFSET(TH!H$1,SMALL(_DNL1,ROWS($1:26)),)="1521",OFFSET(TH!I$1,SMALL(_DNL1,ROWS($1:26)),),OFFSET(TH!H$1,SMALL(_DNL1,ROWS($1:26)),)))</f>
        <v/>
      </c>
      <c r="F39" s="153">
        <f ca="1">IF(ROWS($1:26)&gt;COUNT(_DNL1),0,OFFSET(TH!J$1,SMALL(_DNL1,ROWS($1:26)),))</f>
        <v>0</v>
      </c>
      <c r="G39" s="153">
        <f ca="1">IF(ROWS($1:26)&gt;COUNT(_DNL1),0,IF(OFFSET(TH!K$1,SMALL(_DNL1,ROWS($1:26)),)&lt;&gt;0,OFFSET(TH!K$1,SMALL(_DNL1,ROWS($1:26)),),0))</f>
        <v>0</v>
      </c>
      <c r="H39" s="148">
        <f t="shared" ca="1" si="5"/>
        <v>0</v>
      </c>
      <c r="I39" s="153">
        <f ca="1">IF(ROWS($1:26)&gt;COUNT(_DNL1),0,IF(OFFSET(TH!M$1,SMALL(_DNL1,ROWS($1:26)),)&lt;&gt;0,OFFSET(TH!M$1,SMALL(_DNL1,ROWS($1:26)),),0))</f>
        <v>0</v>
      </c>
      <c r="J39" s="148">
        <f t="shared" ca="1" si="6"/>
        <v>0</v>
      </c>
      <c r="K39" s="148">
        <f t="shared" ca="1" si="7"/>
        <v>0</v>
      </c>
      <c r="L39" s="148">
        <f t="shared" ca="1" si="8"/>
        <v>0</v>
      </c>
      <c r="M39" s="148"/>
      <c r="N39" s="217"/>
    </row>
    <row r="40" spans="1:14">
      <c r="A40" s="24" t="str">
        <f t="shared" ca="1" si="4"/>
        <v/>
      </c>
      <c r="B40" s="150" t="str">
        <f ca="1">IF(ROWS($1:27)&gt;COUNT(_DNL1),"",OFFSET(TH!D$1,SMALL(_DNL1,ROWS($1:27)),)&amp;"/"&amp;OFFSET(TH!C$1,SMALL(_DNL1,ROWS($1:27)),))</f>
        <v/>
      </c>
      <c r="C40" s="151" t="str">
        <f ca="1">IF(ROWS($1:27)&gt;COUNT(_DNL1),"",OFFSET(TH!E$1,SMALL(_DNL1,ROWS($1:27)),))</f>
        <v/>
      </c>
      <c r="D40" s="152" t="str">
        <f ca="1">IF(ROWS($1:27)&gt;COUNT(_DNL1),"",OFFSET(TH!F$1,SMALL(_DNL1,ROWS($1:27)),))</f>
        <v/>
      </c>
      <c r="E40" s="150" t="str">
        <f ca="1">IF(ROWS($1:27)&gt;COUNT(_DNL1),"",IF(OFFSET(TH!H$1,SMALL(_DNL1,ROWS($1:27)),)="1521",OFFSET(TH!I$1,SMALL(_DNL1,ROWS($1:27)),),OFFSET(TH!H$1,SMALL(_DNL1,ROWS($1:27)),)))</f>
        <v/>
      </c>
      <c r="F40" s="153">
        <f ca="1">IF(ROWS($1:27)&gt;COUNT(_DNL1),0,OFFSET(TH!J$1,SMALL(_DNL1,ROWS($1:27)),))</f>
        <v>0</v>
      </c>
      <c r="G40" s="153">
        <f ca="1">IF(ROWS($1:27)&gt;COUNT(_DNL1),0,IF(OFFSET(TH!K$1,SMALL(_DNL1,ROWS($1:27)),)&lt;&gt;0,OFFSET(TH!K$1,SMALL(_DNL1,ROWS($1:27)),),0))</f>
        <v>0</v>
      </c>
      <c r="H40" s="148">
        <f t="shared" ca="1" si="5"/>
        <v>0</v>
      </c>
      <c r="I40" s="153">
        <f ca="1">IF(ROWS($1:27)&gt;COUNT(_DNL1),0,IF(OFFSET(TH!M$1,SMALL(_DNL1,ROWS($1:27)),)&lt;&gt;0,OFFSET(TH!M$1,SMALL(_DNL1,ROWS($1:27)),),0))</f>
        <v>0</v>
      </c>
      <c r="J40" s="148">
        <f t="shared" ca="1" si="6"/>
        <v>0</v>
      </c>
      <c r="K40" s="148">
        <f t="shared" ca="1" si="7"/>
        <v>0</v>
      </c>
      <c r="L40" s="148">
        <f t="shared" ca="1" si="8"/>
        <v>0</v>
      </c>
      <c r="M40" s="148"/>
      <c r="N40" s="217"/>
    </row>
    <row r="41" spans="1:14">
      <c r="A41" s="24" t="str">
        <f t="shared" ca="1" si="4"/>
        <v/>
      </c>
      <c r="B41" s="150" t="str">
        <f ca="1">IF(ROWS($1:28)&gt;COUNT(_DNL1),"",OFFSET(TH!D$1,SMALL(_DNL1,ROWS($1:28)),)&amp;"/"&amp;OFFSET(TH!C$1,SMALL(_DNL1,ROWS($1:28)),))</f>
        <v/>
      </c>
      <c r="C41" s="151" t="str">
        <f ca="1">IF(ROWS($1:28)&gt;COUNT(_DNL1),"",OFFSET(TH!E$1,SMALL(_DNL1,ROWS($1:28)),))</f>
        <v/>
      </c>
      <c r="D41" s="152" t="str">
        <f ca="1">IF(ROWS($1:28)&gt;COUNT(_DNL1),"",OFFSET(TH!F$1,SMALL(_DNL1,ROWS($1:28)),))</f>
        <v/>
      </c>
      <c r="E41" s="150" t="str">
        <f ca="1">IF(ROWS($1:28)&gt;COUNT(_DNL1),"",IF(OFFSET(TH!H$1,SMALL(_DNL1,ROWS($1:28)),)="1521",OFFSET(TH!I$1,SMALL(_DNL1,ROWS($1:28)),),OFFSET(TH!H$1,SMALL(_DNL1,ROWS($1:28)),)))</f>
        <v/>
      </c>
      <c r="F41" s="153">
        <f ca="1">IF(ROWS($1:28)&gt;COUNT(_DNL1),0,OFFSET(TH!J$1,SMALL(_DNL1,ROWS($1:28)),))</f>
        <v>0</v>
      </c>
      <c r="G41" s="153">
        <f ca="1">IF(ROWS($1:28)&gt;COUNT(_DNL1),0,IF(OFFSET(TH!K$1,SMALL(_DNL1,ROWS($1:28)),)&lt;&gt;0,OFFSET(TH!K$1,SMALL(_DNL1,ROWS($1:28)),),0))</f>
        <v>0</v>
      </c>
      <c r="H41" s="148">
        <f t="shared" ca="1" si="5"/>
        <v>0</v>
      </c>
      <c r="I41" s="153">
        <f ca="1">IF(ROWS($1:28)&gt;COUNT(_DNL1),0,IF(OFFSET(TH!M$1,SMALL(_DNL1,ROWS($1:28)),)&lt;&gt;0,OFFSET(TH!M$1,SMALL(_DNL1,ROWS($1:28)),),0))</f>
        <v>0</v>
      </c>
      <c r="J41" s="148">
        <f t="shared" ca="1" si="6"/>
        <v>0</v>
      </c>
      <c r="K41" s="148">
        <f t="shared" ca="1" si="7"/>
        <v>0</v>
      </c>
      <c r="L41" s="148">
        <f t="shared" ca="1" si="8"/>
        <v>0</v>
      </c>
      <c r="M41" s="148"/>
      <c r="N41" s="217"/>
    </row>
    <row r="42" spans="1:14">
      <c r="A42" s="24" t="str">
        <f t="shared" ca="1" si="4"/>
        <v/>
      </c>
      <c r="B42" s="150" t="str">
        <f ca="1">IF(ROWS($1:29)&gt;COUNT(_DNL1),"",OFFSET(TH!D$1,SMALL(_DNL1,ROWS($1:29)),)&amp;"/"&amp;OFFSET(TH!C$1,SMALL(_DNL1,ROWS($1:29)),))</f>
        <v/>
      </c>
      <c r="C42" s="151" t="str">
        <f ca="1">IF(ROWS($1:29)&gt;COUNT(_DNL1),"",OFFSET(TH!E$1,SMALL(_DNL1,ROWS($1:29)),))</f>
        <v/>
      </c>
      <c r="D42" s="152" t="str">
        <f ca="1">IF(ROWS($1:29)&gt;COUNT(_DNL1),"",OFFSET(TH!F$1,SMALL(_DNL1,ROWS($1:29)),))</f>
        <v/>
      </c>
      <c r="E42" s="150" t="str">
        <f ca="1">IF(ROWS($1:29)&gt;COUNT(_DNL1),"",IF(OFFSET(TH!H$1,SMALL(_DNL1,ROWS($1:29)),)="1521",OFFSET(TH!I$1,SMALL(_DNL1,ROWS($1:29)),),OFFSET(TH!H$1,SMALL(_DNL1,ROWS($1:29)),)))</f>
        <v/>
      </c>
      <c r="F42" s="153">
        <f ca="1">IF(ROWS($1:29)&gt;COUNT(_DNL1),0,OFFSET(TH!J$1,SMALL(_DNL1,ROWS($1:29)),))</f>
        <v>0</v>
      </c>
      <c r="G42" s="153">
        <f ca="1">IF(ROWS($1:29)&gt;COUNT(_DNL1),0,IF(OFFSET(TH!K$1,SMALL(_DNL1,ROWS($1:29)),)&lt;&gt;0,OFFSET(TH!K$1,SMALL(_DNL1,ROWS($1:29)),),0))</f>
        <v>0</v>
      </c>
      <c r="H42" s="148">
        <f t="shared" ca="1" si="5"/>
        <v>0</v>
      </c>
      <c r="I42" s="153">
        <f ca="1">IF(ROWS($1:29)&gt;COUNT(_DNL1),0,IF(OFFSET(TH!M$1,SMALL(_DNL1,ROWS($1:29)),)&lt;&gt;0,OFFSET(TH!M$1,SMALL(_DNL1,ROWS($1:29)),),0))</f>
        <v>0</v>
      </c>
      <c r="J42" s="148">
        <f t="shared" ca="1" si="6"/>
        <v>0</v>
      </c>
      <c r="K42" s="148">
        <f t="shared" ca="1" si="7"/>
        <v>0</v>
      </c>
      <c r="L42" s="148">
        <f t="shared" ca="1" si="8"/>
        <v>0</v>
      </c>
      <c r="M42" s="148"/>
      <c r="N42" s="217"/>
    </row>
    <row r="43" spans="1:14">
      <c r="A43" s="24" t="str">
        <f t="shared" ca="1" si="4"/>
        <v/>
      </c>
      <c r="B43" s="150" t="str">
        <f ca="1">IF(ROWS($1:30)&gt;COUNT(_DNL1),"",OFFSET(TH!D$1,SMALL(_DNL1,ROWS($1:30)),)&amp;"/"&amp;OFFSET(TH!C$1,SMALL(_DNL1,ROWS($1:30)),))</f>
        <v/>
      </c>
      <c r="C43" s="151" t="str">
        <f ca="1">IF(ROWS($1:30)&gt;COUNT(_DNL1),"",OFFSET(TH!E$1,SMALL(_DNL1,ROWS($1:30)),))</f>
        <v/>
      </c>
      <c r="D43" s="152" t="str">
        <f ca="1">IF(ROWS($1:30)&gt;COUNT(_DNL1),"",OFFSET(TH!F$1,SMALL(_DNL1,ROWS($1:30)),))</f>
        <v/>
      </c>
      <c r="E43" s="150" t="str">
        <f ca="1">IF(ROWS($1:30)&gt;COUNT(_DNL1),"",IF(OFFSET(TH!H$1,SMALL(_DNL1,ROWS($1:30)),)="1521",OFFSET(TH!I$1,SMALL(_DNL1,ROWS($1:30)),),OFFSET(TH!H$1,SMALL(_DNL1,ROWS($1:30)),)))</f>
        <v/>
      </c>
      <c r="F43" s="153">
        <f ca="1">IF(ROWS($1:30)&gt;COUNT(_DNL1),0,OFFSET(TH!J$1,SMALL(_DNL1,ROWS($1:30)),))</f>
        <v>0</v>
      </c>
      <c r="G43" s="153">
        <f ca="1">IF(ROWS($1:30)&gt;COUNT(_DNL1),0,IF(OFFSET(TH!K$1,SMALL(_DNL1,ROWS($1:30)),)&lt;&gt;0,OFFSET(TH!K$1,SMALL(_DNL1,ROWS($1:30)),),0))</f>
        <v>0</v>
      </c>
      <c r="H43" s="148">
        <f t="shared" ca="1" si="5"/>
        <v>0</v>
      </c>
      <c r="I43" s="153">
        <f ca="1">IF(ROWS($1:30)&gt;COUNT(_DNL1),0,IF(OFFSET(TH!M$1,SMALL(_DNL1,ROWS($1:30)),)&lt;&gt;0,OFFSET(TH!M$1,SMALL(_DNL1,ROWS($1:30)),),0))</f>
        <v>0</v>
      </c>
      <c r="J43" s="148">
        <f t="shared" ca="1" si="6"/>
        <v>0</v>
      </c>
      <c r="K43" s="148">
        <f t="shared" ca="1" si="7"/>
        <v>0</v>
      </c>
      <c r="L43" s="148">
        <f t="shared" ca="1" si="8"/>
        <v>0</v>
      </c>
      <c r="M43" s="148"/>
      <c r="N43" s="217"/>
    </row>
    <row r="44" spans="1:14">
      <c r="A44" s="24" t="str">
        <f t="shared" ca="1" si="4"/>
        <v/>
      </c>
      <c r="B44" s="150" t="str">
        <f ca="1">IF(ROWS($1:31)&gt;COUNT(_DNL1),"",OFFSET(TH!D$1,SMALL(_DNL1,ROWS($1:31)),)&amp;"/"&amp;OFFSET(TH!C$1,SMALL(_DNL1,ROWS($1:31)),))</f>
        <v/>
      </c>
      <c r="C44" s="151" t="str">
        <f ca="1">IF(ROWS($1:31)&gt;COUNT(_DNL1),"",OFFSET(TH!E$1,SMALL(_DNL1,ROWS($1:31)),))</f>
        <v/>
      </c>
      <c r="D44" s="152" t="str">
        <f ca="1">IF(ROWS($1:31)&gt;COUNT(_DNL1),"",OFFSET(TH!F$1,SMALL(_DNL1,ROWS($1:31)),))</f>
        <v/>
      </c>
      <c r="E44" s="150" t="str">
        <f ca="1">IF(ROWS($1:31)&gt;COUNT(_DNL1),"",IF(OFFSET(TH!H$1,SMALL(_DNL1,ROWS($1:31)),)="1521",OFFSET(TH!I$1,SMALL(_DNL1,ROWS($1:31)),),OFFSET(TH!H$1,SMALL(_DNL1,ROWS($1:31)),)))</f>
        <v/>
      </c>
      <c r="F44" s="153">
        <f ca="1">IF(ROWS($1:31)&gt;COUNT(_DNL1),0,OFFSET(TH!J$1,SMALL(_DNL1,ROWS($1:31)),))</f>
        <v>0</v>
      </c>
      <c r="G44" s="153">
        <f ca="1">IF(ROWS($1:31)&gt;COUNT(_DNL1),0,IF(OFFSET(TH!K$1,SMALL(_DNL1,ROWS($1:31)),)&lt;&gt;0,OFFSET(TH!K$1,SMALL(_DNL1,ROWS($1:31)),),0))</f>
        <v>0</v>
      </c>
      <c r="H44" s="148">
        <f t="shared" ca="1" si="5"/>
        <v>0</v>
      </c>
      <c r="I44" s="153">
        <f ca="1">IF(ROWS($1:31)&gt;COUNT(_DNL1),0,IF(OFFSET(TH!M$1,SMALL(_DNL1,ROWS($1:31)),)&lt;&gt;0,OFFSET(TH!M$1,SMALL(_DNL1,ROWS($1:31)),),0))</f>
        <v>0</v>
      </c>
      <c r="J44" s="148">
        <f t="shared" ca="1" si="6"/>
        <v>0</v>
      </c>
      <c r="K44" s="148">
        <f t="shared" ca="1" si="7"/>
        <v>0</v>
      </c>
      <c r="L44" s="148">
        <f t="shared" ca="1" si="8"/>
        <v>0</v>
      </c>
      <c r="M44" s="148"/>
      <c r="N44" s="217"/>
    </row>
    <row r="45" spans="1:14">
      <c r="A45" s="24" t="str">
        <f t="shared" ca="1" si="4"/>
        <v/>
      </c>
      <c r="B45" s="150" t="str">
        <f ca="1">IF(ROWS($1:32)&gt;COUNT(_DNL1),"",OFFSET(TH!D$1,SMALL(_DNL1,ROWS($1:32)),)&amp;"/"&amp;OFFSET(TH!C$1,SMALL(_DNL1,ROWS($1:32)),))</f>
        <v/>
      </c>
      <c r="C45" s="151" t="str">
        <f ca="1">IF(ROWS($1:32)&gt;COUNT(_DNL1),"",OFFSET(TH!E$1,SMALL(_DNL1,ROWS($1:32)),))</f>
        <v/>
      </c>
      <c r="D45" s="152" t="str">
        <f ca="1">IF(ROWS($1:32)&gt;COUNT(_DNL1),"",OFFSET(TH!F$1,SMALL(_DNL1,ROWS($1:32)),))</f>
        <v/>
      </c>
      <c r="E45" s="150" t="str">
        <f ca="1">IF(ROWS($1:32)&gt;COUNT(_DNL1),"",IF(OFFSET(TH!H$1,SMALL(_DNL1,ROWS($1:32)),)="1521",OFFSET(TH!I$1,SMALL(_DNL1,ROWS($1:32)),),OFFSET(TH!H$1,SMALL(_DNL1,ROWS($1:32)),)))</f>
        <v/>
      </c>
      <c r="F45" s="153">
        <f ca="1">IF(ROWS($1:32)&gt;COUNT(_DNL1),0,OFFSET(TH!J$1,SMALL(_DNL1,ROWS($1:32)),))</f>
        <v>0</v>
      </c>
      <c r="G45" s="153">
        <f ca="1">IF(ROWS($1:32)&gt;COUNT(_DNL1),0,IF(OFFSET(TH!K$1,SMALL(_DNL1,ROWS($1:32)),)&lt;&gt;0,OFFSET(TH!K$1,SMALL(_DNL1,ROWS($1:32)),),0))</f>
        <v>0</v>
      </c>
      <c r="H45" s="148">
        <f t="shared" ca="1" si="5"/>
        <v>0</v>
      </c>
      <c r="I45" s="153">
        <f ca="1">IF(ROWS($1:32)&gt;COUNT(_DNL1),0,IF(OFFSET(TH!M$1,SMALL(_DNL1,ROWS($1:32)),)&lt;&gt;0,OFFSET(TH!M$1,SMALL(_DNL1,ROWS($1:32)),),0))</f>
        <v>0</v>
      </c>
      <c r="J45" s="148">
        <f t="shared" ca="1" si="6"/>
        <v>0</v>
      </c>
      <c r="K45" s="148">
        <f t="shared" ca="1" si="7"/>
        <v>0</v>
      </c>
      <c r="L45" s="148">
        <f t="shared" ca="1" si="8"/>
        <v>0</v>
      </c>
      <c r="M45" s="148"/>
      <c r="N45" s="217"/>
    </row>
    <row r="46" spans="1:14">
      <c r="A46" s="24" t="str">
        <f t="shared" ca="1" si="4"/>
        <v/>
      </c>
      <c r="B46" s="150" t="str">
        <f ca="1">IF(ROWS($1:33)&gt;COUNT(_DNL1),"",OFFSET(TH!D$1,SMALL(_DNL1,ROWS($1:33)),)&amp;"/"&amp;OFFSET(TH!C$1,SMALL(_DNL1,ROWS($1:33)),))</f>
        <v/>
      </c>
      <c r="C46" s="151" t="str">
        <f ca="1">IF(ROWS($1:33)&gt;COUNT(_DNL1),"",OFFSET(TH!E$1,SMALL(_DNL1,ROWS($1:33)),))</f>
        <v/>
      </c>
      <c r="D46" s="152" t="str">
        <f ca="1">IF(ROWS($1:33)&gt;COUNT(_DNL1),"",OFFSET(TH!F$1,SMALL(_DNL1,ROWS($1:33)),))</f>
        <v/>
      </c>
      <c r="E46" s="150" t="str">
        <f ca="1">IF(ROWS($1:33)&gt;COUNT(_DNL1),"",IF(OFFSET(TH!H$1,SMALL(_DNL1,ROWS($1:33)),)="1521",OFFSET(TH!I$1,SMALL(_DNL1,ROWS($1:33)),),OFFSET(TH!H$1,SMALL(_DNL1,ROWS($1:33)),)))</f>
        <v/>
      </c>
      <c r="F46" s="153">
        <f ca="1">IF(ROWS($1:33)&gt;COUNT(_DNL1),0,OFFSET(TH!J$1,SMALL(_DNL1,ROWS($1:33)),))</f>
        <v>0</v>
      </c>
      <c r="G46" s="153">
        <f ca="1">IF(ROWS($1:33)&gt;COUNT(_DNL1),0,IF(OFFSET(TH!K$1,SMALL(_DNL1,ROWS($1:33)),)&lt;&gt;0,OFFSET(TH!K$1,SMALL(_DNL1,ROWS($1:33)),),0))</f>
        <v>0</v>
      </c>
      <c r="H46" s="148">
        <f t="shared" ca="1" si="5"/>
        <v>0</v>
      </c>
      <c r="I46" s="153">
        <f ca="1">IF(ROWS($1:33)&gt;COUNT(_DNL1),0,IF(OFFSET(TH!M$1,SMALL(_DNL1,ROWS($1:33)),)&lt;&gt;0,OFFSET(TH!M$1,SMALL(_DNL1,ROWS($1:33)),),0))</f>
        <v>0</v>
      </c>
      <c r="J46" s="148">
        <f t="shared" ca="1" si="6"/>
        <v>0</v>
      </c>
      <c r="K46" s="148">
        <f t="shared" ca="1" si="7"/>
        <v>0</v>
      </c>
      <c r="L46" s="148">
        <f t="shared" ca="1" si="8"/>
        <v>0</v>
      </c>
      <c r="M46" s="148"/>
      <c r="N46" s="217"/>
    </row>
    <row r="47" spans="1:14">
      <c r="A47" s="24" t="str">
        <f t="shared" ca="1" si="4"/>
        <v/>
      </c>
      <c r="B47" s="150" t="str">
        <f ca="1">IF(ROWS($1:34)&gt;COUNT(_DNL1),"",OFFSET(TH!D$1,SMALL(_DNL1,ROWS($1:34)),)&amp;"/"&amp;OFFSET(TH!C$1,SMALL(_DNL1,ROWS($1:34)),))</f>
        <v/>
      </c>
      <c r="C47" s="151" t="str">
        <f ca="1">IF(ROWS($1:34)&gt;COUNT(_DNL1),"",OFFSET(TH!E$1,SMALL(_DNL1,ROWS($1:34)),))</f>
        <v/>
      </c>
      <c r="D47" s="152" t="str">
        <f ca="1">IF(ROWS($1:34)&gt;COUNT(_DNL1),"",OFFSET(TH!F$1,SMALL(_DNL1,ROWS($1:34)),))</f>
        <v/>
      </c>
      <c r="E47" s="150" t="str">
        <f ca="1">IF(ROWS($1:34)&gt;COUNT(_DNL1),"",IF(OFFSET(TH!H$1,SMALL(_DNL1,ROWS($1:34)),)="1521",OFFSET(TH!I$1,SMALL(_DNL1,ROWS($1:34)),),OFFSET(TH!H$1,SMALL(_DNL1,ROWS($1:34)),)))</f>
        <v/>
      </c>
      <c r="F47" s="153">
        <f ca="1">IF(ROWS($1:34)&gt;COUNT(_DNL1),0,OFFSET(TH!J$1,SMALL(_DNL1,ROWS($1:34)),))</f>
        <v>0</v>
      </c>
      <c r="G47" s="153">
        <f ca="1">IF(ROWS($1:34)&gt;COUNT(_DNL1),0,IF(OFFSET(TH!K$1,SMALL(_DNL1,ROWS($1:34)),)&lt;&gt;0,OFFSET(TH!K$1,SMALL(_DNL1,ROWS($1:34)),),0))</f>
        <v>0</v>
      </c>
      <c r="H47" s="148">
        <f t="shared" ca="1" si="5"/>
        <v>0</v>
      </c>
      <c r="I47" s="153">
        <f ca="1">IF(ROWS($1:34)&gt;COUNT(_DNL1),0,IF(OFFSET(TH!M$1,SMALL(_DNL1,ROWS($1:34)),)&lt;&gt;0,OFFSET(TH!M$1,SMALL(_DNL1,ROWS($1:34)),),0))</f>
        <v>0</v>
      </c>
      <c r="J47" s="148">
        <f t="shared" ca="1" si="6"/>
        <v>0</v>
      </c>
      <c r="K47" s="148">
        <f t="shared" ca="1" si="7"/>
        <v>0</v>
      </c>
      <c r="L47" s="148">
        <f t="shared" ca="1" si="8"/>
        <v>0</v>
      </c>
      <c r="M47" s="148"/>
      <c r="N47" s="217"/>
    </row>
    <row r="48" spans="1:14">
      <c r="A48" s="24" t="str">
        <f t="shared" ca="1" si="4"/>
        <v/>
      </c>
      <c r="B48" s="150" t="str">
        <f ca="1">IF(ROWS($1:35)&gt;COUNT(_DNL1),"",OFFSET(TH!D$1,SMALL(_DNL1,ROWS($1:35)),)&amp;"/"&amp;OFFSET(TH!C$1,SMALL(_DNL1,ROWS($1:35)),))</f>
        <v/>
      </c>
      <c r="C48" s="151" t="str">
        <f ca="1">IF(ROWS($1:35)&gt;COUNT(_DNL1),"",OFFSET(TH!E$1,SMALL(_DNL1,ROWS($1:35)),))</f>
        <v/>
      </c>
      <c r="D48" s="152" t="str">
        <f ca="1">IF(ROWS($1:35)&gt;COUNT(_DNL1),"",OFFSET(TH!F$1,SMALL(_DNL1,ROWS($1:35)),))</f>
        <v/>
      </c>
      <c r="E48" s="150" t="str">
        <f ca="1">IF(ROWS($1:35)&gt;COUNT(_DNL1),"",IF(OFFSET(TH!H$1,SMALL(_DNL1,ROWS($1:35)),)="1521",OFFSET(TH!I$1,SMALL(_DNL1,ROWS($1:35)),),OFFSET(TH!H$1,SMALL(_DNL1,ROWS($1:35)),)))</f>
        <v/>
      </c>
      <c r="F48" s="153">
        <f ca="1">IF(ROWS($1:35)&gt;COUNT(_DNL1),0,OFFSET(TH!J$1,SMALL(_DNL1,ROWS($1:35)),))</f>
        <v>0</v>
      </c>
      <c r="G48" s="153">
        <f ca="1">IF(ROWS($1:35)&gt;COUNT(_DNL1),0,IF(OFFSET(TH!K$1,SMALL(_DNL1,ROWS($1:35)),)&lt;&gt;0,OFFSET(TH!K$1,SMALL(_DNL1,ROWS($1:35)),),0))</f>
        <v>0</v>
      </c>
      <c r="H48" s="148">
        <f t="shared" ca="1" si="5"/>
        <v>0</v>
      </c>
      <c r="I48" s="153">
        <f ca="1">IF(ROWS($1:35)&gt;COUNT(_DNL1),0,IF(OFFSET(TH!M$1,SMALL(_DNL1,ROWS($1:35)),)&lt;&gt;0,OFFSET(TH!M$1,SMALL(_DNL1,ROWS($1:35)),),0))</f>
        <v>0</v>
      </c>
      <c r="J48" s="148">
        <f t="shared" ca="1" si="6"/>
        <v>0</v>
      </c>
      <c r="K48" s="148">
        <f t="shared" ca="1" si="7"/>
        <v>0</v>
      </c>
      <c r="L48" s="148">
        <f t="shared" ca="1" si="8"/>
        <v>0</v>
      </c>
      <c r="M48" s="148"/>
      <c r="N48" s="217"/>
    </row>
    <row r="49" spans="1:14">
      <c r="A49" s="24" t="str">
        <f t="shared" ca="1" si="4"/>
        <v/>
      </c>
      <c r="B49" s="150" t="str">
        <f ca="1">IF(ROWS($1:36)&gt;COUNT(_DNL1),"",OFFSET(TH!D$1,SMALL(_DNL1,ROWS($1:36)),)&amp;"/"&amp;OFFSET(TH!C$1,SMALL(_DNL1,ROWS($1:36)),))</f>
        <v/>
      </c>
      <c r="C49" s="151" t="str">
        <f ca="1">IF(ROWS($1:36)&gt;COUNT(_DNL1),"",OFFSET(TH!E$1,SMALL(_DNL1,ROWS($1:36)),))</f>
        <v/>
      </c>
      <c r="D49" s="152" t="str">
        <f ca="1">IF(ROWS($1:36)&gt;COUNT(_DNL1),"",OFFSET(TH!F$1,SMALL(_DNL1,ROWS($1:36)),))</f>
        <v/>
      </c>
      <c r="E49" s="150" t="str">
        <f ca="1">IF(ROWS($1:36)&gt;COUNT(_DNL1),"",IF(OFFSET(TH!H$1,SMALL(_DNL1,ROWS($1:36)),)="1521",OFFSET(TH!I$1,SMALL(_DNL1,ROWS($1:36)),),OFFSET(TH!H$1,SMALL(_DNL1,ROWS($1:36)),)))</f>
        <v/>
      </c>
      <c r="F49" s="153">
        <f ca="1">IF(ROWS($1:36)&gt;COUNT(_DNL1),0,OFFSET(TH!J$1,SMALL(_DNL1,ROWS($1:36)),))</f>
        <v>0</v>
      </c>
      <c r="G49" s="153">
        <f ca="1">IF(ROWS($1:36)&gt;COUNT(_DNL1),0,IF(OFFSET(TH!K$1,SMALL(_DNL1,ROWS($1:36)),)&lt;&gt;0,OFFSET(TH!K$1,SMALL(_DNL1,ROWS($1:36)),),0))</f>
        <v>0</v>
      </c>
      <c r="H49" s="148">
        <f t="shared" ca="1" si="5"/>
        <v>0</v>
      </c>
      <c r="I49" s="153">
        <f ca="1">IF(ROWS($1:36)&gt;COUNT(_DNL1),0,IF(OFFSET(TH!M$1,SMALL(_DNL1,ROWS($1:36)),)&lt;&gt;0,OFFSET(TH!M$1,SMALL(_DNL1,ROWS($1:36)),),0))</f>
        <v>0</v>
      </c>
      <c r="J49" s="148">
        <f t="shared" ca="1" si="6"/>
        <v>0</v>
      </c>
      <c r="K49" s="148">
        <f t="shared" ca="1" si="7"/>
        <v>0</v>
      </c>
      <c r="L49" s="148">
        <f t="shared" ca="1" si="8"/>
        <v>0</v>
      </c>
      <c r="M49" s="148"/>
      <c r="N49" s="217"/>
    </row>
    <row r="50" spans="1:14">
      <c r="A50" s="24" t="str">
        <f t="shared" ca="1" si="4"/>
        <v/>
      </c>
      <c r="B50" s="150" t="str">
        <f ca="1">IF(ROWS($1:37)&gt;COUNT(_DNL1),"",OFFSET(TH!D$1,SMALL(_DNL1,ROWS($1:37)),)&amp;"/"&amp;OFFSET(TH!C$1,SMALL(_DNL1,ROWS($1:37)),))</f>
        <v/>
      </c>
      <c r="C50" s="151" t="str">
        <f ca="1">IF(ROWS($1:37)&gt;COUNT(_DNL1),"",OFFSET(TH!E$1,SMALL(_DNL1,ROWS($1:37)),))</f>
        <v/>
      </c>
      <c r="D50" s="152" t="str">
        <f ca="1">IF(ROWS($1:37)&gt;COUNT(_DNL1),"",OFFSET(TH!F$1,SMALL(_DNL1,ROWS($1:37)),))</f>
        <v/>
      </c>
      <c r="E50" s="150" t="str">
        <f ca="1">IF(ROWS($1:37)&gt;COUNT(_DNL1),"",IF(OFFSET(TH!H$1,SMALL(_DNL1,ROWS($1:37)),)="1521",OFFSET(TH!I$1,SMALL(_DNL1,ROWS($1:37)),),OFFSET(TH!H$1,SMALL(_DNL1,ROWS($1:37)),)))</f>
        <v/>
      </c>
      <c r="F50" s="153">
        <f ca="1">IF(ROWS($1:37)&gt;COUNT(_DNL1),0,OFFSET(TH!J$1,SMALL(_DNL1,ROWS($1:37)),))</f>
        <v>0</v>
      </c>
      <c r="G50" s="153">
        <f ca="1">IF(ROWS($1:37)&gt;COUNT(_DNL1),0,IF(OFFSET(TH!K$1,SMALL(_DNL1,ROWS($1:37)),)&lt;&gt;0,OFFSET(TH!K$1,SMALL(_DNL1,ROWS($1:37)),),0))</f>
        <v>0</v>
      </c>
      <c r="H50" s="148">
        <f t="shared" ca="1" si="5"/>
        <v>0</v>
      </c>
      <c r="I50" s="153">
        <f ca="1">IF(ROWS($1:37)&gt;COUNT(_DNL1),0,IF(OFFSET(TH!M$1,SMALL(_DNL1,ROWS($1:37)),)&lt;&gt;0,OFFSET(TH!M$1,SMALL(_DNL1,ROWS($1:37)),),0))</f>
        <v>0</v>
      </c>
      <c r="J50" s="148">
        <f t="shared" ca="1" si="6"/>
        <v>0</v>
      </c>
      <c r="K50" s="148">
        <f t="shared" ca="1" si="7"/>
        <v>0</v>
      </c>
      <c r="L50" s="148">
        <f t="shared" ca="1" si="8"/>
        <v>0</v>
      </c>
      <c r="M50" s="148"/>
      <c r="N50" s="217"/>
    </row>
    <row r="51" spans="1:14">
      <c r="A51" s="24" t="str">
        <f t="shared" ca="1" si="4"/>
        <v/>
      </c>
      <c r="B51" s="150" t="str">
        <f ca="1">IF(ROWS($1:38)&gt;COUNT(_DNL1),"",OFFSET(TH!D$1,SMALL(_DNL1,ROWS($1:38)),)&amp;"/"&amp;OFFSET(TH!C$1,SMALL(_DNL1,ROWS($1:38)),))</f>
        <v/>
      </c>
      <c r="C51" s="151" t="str">
        <f ca="1">IF(ROWS($1:38)&gt;COUNT(_DNL1),"",OFFSET(TH!E$1,SMALL(_DNL1,ROWS($1:38)),))</f>
        <v/>
      </c>
      <c r="D51" s="152" t="str">
        <f ca="1">IF(ROWS($1:38)&gt;COUNT(_DNL1),"",OFFSET(TH!F$1,SMALL(_DNL1,ROWS($1:38)),))</f>
        <v/>
      </c>
      <c r="E51" s="150" t="str">
        <f ca="1">IF(ROWS($1:38)&gt;COUNT(_DNL1),"",IF(OFFSET(TH!H$1,SMALL(_DNL1,ROWS($1:38)),)="1521",OFFSET(TH!I$1,SMALL(_DNL1,ROWS($1:38)),),OFFSET(TH!H$1,SMALL(_DNL1,ROWS($1:38)),)))</f>
        <v/>
      </c>
      <c r="F51" s="153">
        <f ca="1">IF(ROWS($1:38)&gt;COUNT(_DNL1),0,OFFSET(TH!J$1,SMALL(_DNL1,ROWS($1:38)),))</f>
        <v>0</v>
      </c>
      <c r="G51" s="153">
        <f ca="1">IF(ROWS($1:38)&gt;COUNT(_DNL1),0,IF(OFFSET(TH!K$1,SMALL(_DNL1,ROWS($1:38)),)&lt;&gt;0,OFFSET(TH!K$1,SMALL(_DNL1,ROWS($1:38)),),0))</f>
        <v>0</v>
      </c>
      <c r="H51" s="148">
        <f t="shared" ca="1" si="5"/>
        <v>0</v>
      </c>
      <c r="I51" s="153">
        <f ca="1">IF(ROWS($1:38)&gt;COUNT(_DNL1),0,IF(OFFSET(TH!M$1,SMALL(_DNL1,ROWS($1:38)),)&lt;&gt;0,OFFSET(TH!M$1,SMALL(_DNL1,ROWS($1:38)),),0))</f>
        <v>0</v>
      </c>
      <c r="J51" s="148">
        <f t="shared" ca="1" si="6"/>
        <v>0</v>
      </c>
      <c r="K51" s="148">
        <f t="shared" ca="1" si="7"/>
        <v>0</v>
      </c>
      <c r="L51" s="148">
        <f t="shared" ca="1" si="8"/>
        <v>0</v>
      </c>
      <c r="M51" s="148"/>
      <c r="N51" s="217"/>
    </row>
    <row r="52" spans="1:14">
      <c r="A52" s="24" t="str">
        <f t="shared" ca="1" si="4"/>
        <v/>
      </c>
      <c r="B52" s="150" t="str">
        <f ca="1">IF(ROWS($1:39)&gt;COUNT(_DNL1),"",OFFSET(TH!D$1,SMALL(_DNL1,ROWS($1:39)),)&amp;"/"&amp;OFFSET(TH!C$1,SMALL(_DNL1,ROWS($1:39)),))</f>
        <v/>
      </c>
      <c r="C52" s="151" t="str">
        <f ca="1">IF(ROWS($1:39)&gt;COUNT(_DNL1),"",OFFSET(TH!E$1,SMALL(_DNL1,ROWS($1:39)),))</f>
        <v/>
      </c>
      <c r="D52" s="152" t="str">
        <f ca="1">IF(ROWS($1:39)&gt;COUNT(_DNL1),"",OFFSET(TH!F$1,SMALL(_DNL1,ROWS($1:39)),))</f>
        <v/>
      </c>
      <c r="E52" s="150" t="str">
        <f ca="1">IF(ROWS($1:39)&gt;COUNT(_DNL1),"",IF(OFFSET(TH!H$1,SMALL(_DNL1,ROWS($1:39)),)="1521",OFFSET(TH!I$1,SMALL(_DNL1,ROWS($1:39)),),OFFSET(TH!H$1,SMALL(_DNL1,ROWS($1:39)),)))</f>
        <v/>
      </c>
      <c r="F52" s="153">
        <f ca="1">IF(ROWS($1:39)&gt;COUNT(_DNL1),0,OFFSET(TH!J$1,SMALL(_DNL1,ROWS($1:39)),))</f>
        <v>0</v>
      </c>
      <c r="G52" s="153">
        <f ca="1">IF(ROWS($1:39)&gt;COUNT(_DNL1),0,IF(OFFSET(TH!K$1,SMALL(_DNL1,ROWS($1:39)),)&lt;&gt;0,OFFSET(TH!K$1,SMALL(_DNL1,ROWS($1:39)),),0))</f>
        <v>0</v>
      </c>
      <c r="H52" s="148">
        <f t="shared" ca="1" si="5"/>
        <v>0</v>
      </c>
      <c r="I52" s="153">
        <f ca="1">IF(ROWS($1:39)&gt;COUNT(_DNL1),0,IF(OFFSET(TH!M$1,SMALL(_DNL1,ROWS($1:39)),)&lt;&gt;0,OFFSET(TH!M$1,SMALL(_DNL1,ROWS($1:39)),),0))</f>
        <v>0</v>
      </c>
      <c r="J52" s="148">
        <f t="shared" ca="1" si="6"/>
        <v>0</v>
      </c>
      <c r="K52" s="148">
        <f t="shared" ca="1" si="7"/>
        <v>0</v>
      </c>
      <c r="L52" s="148">
        <f t="shared" ca="1" si="8"/>
        <v>0</v>
      </c>
      <c r="M52" s="148"/>
      <c r="N52" s="217"/>
    </row>
    <row r="53" spans="1:14">
      <c r="A53" s="24" t="str">
        <f t="shared" ca="1" si="4"/>
        <v/>
      </c>
      <c r="B53" s="150" t="str">
        <f ca="1">IF(ROWS($1:40)&gt;COUNT(_DNL1),"",OFFSET(TH!D$1,SMALL(_DNL1,ROWS($1:40)),)&amp;"/"&amp;OFFSET(TH!C$1,SMALL(_DNL1,ROWS($1:40)),))</f>
        <v/>
      </c>
      <c r="C53" s="151" t="str">
        <f ca="1">IF(ROWS($1:40)&gt;COUNT(_DNL1),"",OFFSET(TH!E$1,SMALL(_DNL1,ROWS($1:40)),))</f>
        <v/>
      </c>
      <c r="D53" s="152" t="str">
        <f ca="1">IF(ROWS($1:40)&gt;COUNT(_DNL1),"",OFFSET(TH!F$1,SMALL(_DNL1,ROWS($1:40)),))</f>
        <v/>
      </c>
      <c r="E53" s="150" t="str">
        <f ca="1">IF(ROWS($1:40)&gt;COUNT(_DNL1),"",IF(OFFSET(TH!H$1,SMALL(_DNL1,ROWS($1:40)),)="1521",OFFSET(TH!I$1,SMALL(_DNL1,ROWS($1:40)),),OFFSET(TH!H$1,SMALL(_DNL1,ROWS($1:40)),)))</f>
        <v/>
      </c>
      <c r="F53" s="153">
        <f ca="1">IF(ROWS($1:40)&gt;COUNT(_DNL1),0,OFFSET(TH!J$1,SMALL(_DNL1,ROWS($1:40)),))</f>
        <v>0</v>
      </c>
      <c r="G53" s="153">
        <f ca="1">IF(ROWS($1:40)&gt;COUNT(_DNL1),0,IF(OFFSET(TH!K$1,SMALL(_DNL1,ROWS($1:40)),)&lt;&gt;0,OFFSET(TH!K$1,SMALL(_DNL1,ROWS($1:40)),),0))</f>
        <v>0</v>
      </c>
      <c r="H53" s="148">
        <f t="shared" ca="1" si="5"/>
        <v>0</v>
      </c>
      <c r="I53" s="153">
        <f ca="1">IF(ROWS($1:40)&gt;COUNT(_DNL1),0,IF(OFFSET(TH!M$1,SMALL(_DNL1,ROWS($1:40)),)&lt;&gt;0,OFFSET(TH!M$1,SMALL(_DNL1,ROWS($1:40)),),0))</f>
        <v>0</v>
      </c>
      <c r="J53" s="148">
        <f t="shared" ca="1" si="6"/>
        <v>0</v>
      </c>
      <c r="K53" s="148">
        <f t="shared" ca="1" si="7"/>
        <v>0</v>
      </c>
      <c r="L53" s="148">
        <f t="shared" ca="1" si="8"/>
        <v>0</v>
      </c>
      <c r="M53" s="148"/>
      <c r="N53" s="217"/>
    </row>
    <row r="54" spans="1:14">
      <c r="A54" s="24" t="str">
        <f t="shared" ca="1" si="4"/>
        <v/>
      </c>
      <c r="B54" s="150" t="str">
        <f ca="1">IF(ROWS($1:41)&gt;COUNT(_DNL1),"",OFFSET(TH!D$1,SMALL(_DNL1,ROWS($1:41)),)&amp;"/"&amp;OFFSET(TH!C$1,SMALL(_DNL1,ROWS($1:41)),))</f>
        <v/>
      </c>
      <c r="C54" s="151" t="str">
        <f ca="1">IF(ROWS($1:41)&gt;COUNT(_DNL1),"",OFFSET(TH!E$1,SMALL(_DNL1,ROWS($1:41)),))</f>
        <v/>
      </c>
      <c r="D54" s="152" t="str">
        <f ca="1">IF(ROWS($1:41)&gt;COUNT(_DNL1),"",OFFSET(TH!F$1,SMALL(_DNL1,ROWS($1:41)),))</f>
        <v/>
      </c>
      <c r="E54" s="150" t="str">
        <f ca="1">IF(ROWS($1:41)&gt;COUNT(_DNL1),"",IF(OFFSET(TH!H$1,SMALL(_DNL1,ROWS($1:41)),)="1521",OFFSET(TH!I$1,SMALL(_DNL1,ROWS($1:41)),),OFFSET(TH!H$1,SMALL(_DNL1,ROWS($1:41)),)))</f>
        <v/>
      </c>
      <c r="F54" s="153">
        <f ca="1">IF(ROWS($1:41)&gt;COUNT(_DNL1),0,OFFSET(TH!J$1,SMALL(_DNL1,ROWS($1:41)),))</f>
        <v>0</v>
      </c>
      <c r="G54" s="153">
        <f ca="1">IF(ROWS($1:41)&gt;COUNT(_DNL1),0,IF(OFFSET(TH!K$1,SMALL(_DNL1,ROWS($1:41)),)&lt;&gt;0,OFFSET(TH!K$1,SMALL(_DNL1,ROWS($1:41)),),0))</f>
        <v>0</v>
      </c>
      <c r="H54" s="148">
        <f t="shared" ca="1" si="5"/>
        <v>0</v>
      </c>
      <c r="I54" s="153">
        <f ca="1">IF(ROWS($1:41)&gt;COUNT(_DNL1),0,IF(OFFSET(TH!M$1,SMALL(_DNL1,ROWS($1:41)),)&lt;&gt;0,OFFSET(TH!M$1,SMALL(_DNL1,ROWS($1:41)),),0))</f>
        <v>0</v>
      </c>
      <c r="J54" s="148">
        <f t="shared" ca="1" si="6"/>
        <v>0</v>
      </c>
      <c r="K54" s="148">
        <f t="shared" ca="1" si="7"/>
        <v>0</v>
      </c>
      <c r="L54" s="148">
        <f t="shared" ca="1" si="8"/>
        <v>0</v>
      </c>
      <c r="M54" s="148"/>
      <c r="N54" s="217"/>
    </row>
    <row r="55" spans="1:14">
      <c r="A55" s="24" t="str">
        <f t="shared" ca="1" si="4"/>
        <v/>
      </c>
      <c r="B55" s="150" t="str">
        <f ca="1">IF(ROWS($1:42)&gt;COUNT(_DNL1),"",OFFSET(TH!D$1,SMALL(_DNL1,ROWS($1:42)),)&amp;"/"&amp;OFFSET(TH!C$1,SMALL(_DNL1,ROWS($1:42)),))</f>
        <v/>
      </c>
      <c r="C55" s="151" t="str">
        <f ca="1">IF(ROWS($1:42)&gt;COUNT(_DNL1),"",OFFSET(TH!E$1,SMALL(_DNL1,ROWS($1:42)),))</f>
        <v/>
      </c>
      <c r="D55" s="152" t="str">
        <f ca="1">IF(ROWS($1:42)&gt;COUNT(_DNL1),"",OFFSET(TH!F$1,SMALL(_DNL1,ROWS($1:42)),))</f>
        <v/>
      </c>
      <c r="E55" s="150" t="str">
        <f ca="1">IF(ROWS($1:42)&gt;COUNT(_DNL1),"",IF(OFFSET(TH!H$1,SMALL(_DNL1,ROWS($1:42)),)="1521",OFFSET(TH!I$1,SMALL(_DNL1,ROWS($1:42)),),OFFSET(TH!H$1,SMALL(_DNL1,ROWS($1:42)),)))</f>
        <v/>
      </c>
      <c r="F55" s="153">
        <f ca="1">IF(ROWS($1:42)&gt;COUNT(_DNL1),0,OFFSET(TH!J$1,SMALL(_DNL1,ROWS($1:42)),))</f>
        <v>0</v>
      </c>
      <c r="G55" s="153">
        <f ca="1">IF(ROWS($1:42)&gt;COUNT(_DNL1),0,IF(OFFSET(TH!K$1,SMALL(_DNL1,ROWS($1:42)),)&lt;&gt;0,OFFSET(TH!K$1,SMALL(_DNL1,ROWS($1:42)),),0))</f>
        <v>0</v>
      </c>
      <c r="H55" s="148">
        <f t="shared" ca="1" si="5"/>
        <v>0</v>
      </c>
      <c r="I55" s="153">
        <f ca="1">IF(ROWS($1:42)&gt;COUNT(_DNL1),0,IF(OFFSET(TH!M$1,SMALL(_DNL1,ROWS($1:42)),)&lt;&gt;0,OFFSET(TH!M$1,SMALL(_DNL1,ROWS($1:42)),),0))</f>
        <v>0</v>
      </c>
      <c r="J55" s="148">
        <f t="shared" ca="1" si="6"/>
        <v>0</v>
      </c>
      <c r="K55" s="148">
        <f t="shared" ca="1" si="7"/>
        <v>0</v>
      </c>
      <c r="L55" s="148">
        <f t="shared" ca="1" si="8"/>
        <v>0</v>
      </c>
      <c r="M55" s="148"/>
      <c r="N55" s="217"/>
    </row>
    <row r="56" spans="1:14">
      <c r="A56" s="24" t="str">
        <f t="shared" ca="1" si="4"/>
        <v/>
      </c>
      <c r="B56" s="150" t="str">
        <f ca="1">IF(ROWS($1:43)&gt;COUNT(_DNL1),"",OFFSET(TH!D$1,SMALL(_DNL1,ROWS($1:43)),)&amp;"/"&amp;OFFSET(TH!C$1,SMALL(_DNL1,ROWS($1:43)),))</f>
        <v/>
      </c>
      <c r="C56" s="151" t="str">
        <f ca="1">IF(ROWS($1:43)&gt;COUNT(_DNL1),"",OFFSET(TH!E$1,SMALL(_DNL1,ROWS($1:43)),))</f>
        <v/>
      </c>
      <c r="D56" s="152" t="str">
        <f ca="1">IF(ROWS($1:43)&gt;COUNT(_DNL1),"",OFFSET(TH!F$1,SMALL(_DNL1,ROWS($1:43)),))</f>
        <v/>
      </c>
      <c r="E56" s="150" t="str">
        <f ca="1">IF(ROWS($1:43)&gt;COUNT(_DNL1),"",IF(OFFSET(TH!H$1,SMALL(_DNL1,ROWS($1:43)),)="1521",OFFSET(TH!I$1,SMALL(_DNL1,ROWS($1:43)),),OFFSET(TH!H$1,SMALL(_DNL1,ROWS($1:43)),)))</f>
        <v/>
      </c>
      <c r="F56" s="153">
        <f ca="1">IF(ROWS($1:43)&gt;COUNT(_DNL1),0,OFFSET(TH!J$1,SMALL(_DNL1,ROWS($1:43)),))</f>
        <v>0</v>
      </c>
      <c r="G56" s="153">
        <f ca="1">IF(ROWS($1:43)&gt;COUNT(_DNL1),0,IF(OFFSET(TH!K$1,SMALL(_DNL1,ROWS($1:43)),)&lt;&gt;0,OFFSET(TH!K$1,SMALL(_DNL1,ROWS($1:43)),),0))</f>
        <v>0</v>
      </c>
      <c r="H56" s="148">
        <f t="shared" ca="1" si="5"/>
        <v>0</v>
      </c>
      <c r="I56" s="153">
        <f ca="1">IF(ROWS($1:43)&gt;COUNT(_DNL1),0,IF(OFFSET(TH!M$1,SMALL(_DNL1,ROWS($1:43)),)&lt;&gt;0,OFFSET(TH!M$1,SMALL(_DNL1,ROWS($1:43)),),0))</f>
        <v>0</v>
      </c>
      <c r="J56" s="148">
        <f t="shared" ca="1" si="6"/>
        <v>0</v>
      </c>
      <c r="K56" s="148">
        <f t="shared" ca="1" si="7"/>
        <v>0</v>
      </c>
      <c r="L56" s="148">
        <f t="shared" ca="1" si="8"/>
        <v>0</v>
      </c>
      <c r="M56" s="148"/>
      <c r="N56" s="217"/>
    </row>
    <row r="57" spans="1:14">
      <c r="A57" s="24" t="str">
        <f t="shared" ca="1" si="4"/>
        <v/>
      </c>
      <c r="B57" s="150" t="str">
        <f ca="1">IF(ROWS($1:44)&gt;COUNT(_DNL1),"",OFFSET(TH!D$1,SMALL(_DNL1,ROWS($1:44)),)&amp;"/"&amp;OFFSET(TH!C$1,SMALL(_DNL1,ROWS($1:44)),))</f>
        <v/>
      </c>
      <c r="C57" s="151" t="str">
        <f ca="1">IF(ROWS($1:44)&gt;COUNT(_DNL1),"",OFFSET(TH!E$1,SMALL(_DNL1,ROWS($1:44)),))</f>
        <v/>
      </c>
      <c r="D57" s="152" t="str">
        <f ca="1">IF(ROWS($1:44)&gt;COUNT(_DNL1),"",OFFSET(TH!F$1,SMALL(_DNL1,ROWS($1:44)),))</f>
        <v/>
      </c>
      <c r="E57" s="150" t="str">
        <f ca="1">IF(ROWS($1:44)&gt;COUNT(_DNL1),"",IF(OFFSET(TH!H$1,SMALL(_DNL1,ROWS($1:44)),)="1521",OFFSET(TH!I$1,SMALL(_DNL1,ROWS($1:44)),),OFFSET(TH!H$1,SMALL(_DNL1,ROWS($1:44)),)))</f>
        <v/>
      </c>
      <c r="F57" s="153">
        <f ca="1">IF(ROWS($1:44)&gt;COUNT(_DNL1),0,OFFSET(TH!J$1,SMALL(_DNL1,ROWS($1:44)),))</f>
        <v>0</v>
      </c>
      <c r="G57" s="153">
        <f ca="1">IF(ROWS($1:44)&gt;COUNT(_DNL1),0,IF(OFFSET(TH!K$1,SMALL(_DNL1,ROWS($1:44)),)&lt;&gt;0,OFFSET(TH!K$1,SMALL(_DNL1,ROWS($1:44)),),0))</f>
        <v>0</v>
      </c>
      <c r="H57" s="148">
        <f t="shared" ca="1" si="5"/>
        <v>0</v>
      </c>
      <c r="I57" s="153">
        <f ca="1">IF(ROWS($1:44)&gt;COUNT(_DNL1),0,IF(OFFSET(TH!M$1,SMALL(_DNL1,ROWS($1:44)),)&lt;&gt;0,OFFSET(TH!M$1,SMALL(_DNL1,ROWS($1:44)),),0))</f>
        <v>0</v>
      </c>
      <c r="J57" s="148">
        <f t="shared" ca="1" si="6"/>
        <v>0</v>
      </c>
      <c r="K57" s="148">
        <f t="shared" ca="1" si="7"/>
        <v>0</v>
      </c>
      <c r="L57" s="148">
        <f t="shared" ca="1" si="8"/>
        <v>0</v>
      </c>
      <c r="M57" s="148"/>
      <c r="N57" s="217"/>
    </row>
    <row r="58" spans="1:14">
      <c r="A58" s="24" t="str">
        <f t="shared" ca="1" si="4"/>
        <v/>
      </c>
      <c r="B58" s="150" t="str">
        <f ca="1">IF(ROWS($1:45)&gt;COUNT(_DNL1),"",OFFSET(TH!D$1,SMALL(_DNL1,ROWS($1:45)),)&amp;"/"&amp;OFFSET(TH!C$1,SMALL(_DNL1,ROWS($1:45)),))</f>
        <v/>
      </c>
      <c r="C58" s="151" t="str">
        <f ca="1">IF(ROWS($1:45)&gt;COUNT(_DNL1),"",OFFSET(TH!E$1,SMALL(_DNL1,ROWS($1:45)),))</f>
        <v/>
      </c>
      <c r="D58" s="152" t="str">
        <f ca="1">IF(ROWS($1:45)&gt;COUNT(_DNL1),"",OFFSET(TH!F$1,SMALL(_DNL1,ROWS($1:45)),))</f>
        <v/>
      </c>
      <c r="E58" s="150" t="str">
        <f ca="1">IF(ROWS($1:45)&gt;COUNT(_DNL1),"",IF(OFFSET(TH!H$1,SMALL(_DNL1,ROWS($1:45)),)="1521",OFFSET(TH!I$1,SMALL(_DNL1,ROWS($1:45)),),OFFSET(TH!H$1,SMALL(_DNL1,ROWS($1:45)),)))</f>
        <v/>
      </c>
      <c r="F58" s="153">
        <f ca="1">IF(ROWS($1:45)&gt;COUNT(_DNL1),0,OFFSET(TH!J$1,SMALL(_DNL1,ROWS($1:45)),))</f>
        <v>0</v>
      </c>
      <c r="G58" s="153">
        <f ca="1">IF(ROWS($1:45)&gt;COUNT(_DNL1),0,IF(OFFSET(TH!K$1,SMALL(_DNL1,ROWS($1:45)),)&lt;&gt;0,OFFSET(TH!K$1,SMALL(_DNL1,ROWS($1:45)),),0))</f>
        <v>0</v>
      </c>
      <c r="H58" s="148">
        <f t="shared" ca="1" si="5"/>
        <v>0</v>
      </c>
      <c r="I58" s="153">
        <f ca="1">IF(ROWS($1:45)&gt;COUNT(_DNL1),0,IF(OFFSET(TH!M$1,SMALL(_DNL1,ROWS($1:45)),)&lt;&gt;0,OFFSET(TH!M$1,SMALL(_DNL1,ROWS($1:45)),),0))</f>
        <v>0</v>
      </c>
      <c r="J58" s="148">
        <f t="shared" ca="1" si="6"/>
        <v>0</v>
      </c>
      <c r="K58" s="148">
        <f t="shared" ca="1" si="7"/>
        <v>0</v>
      </c>
      <c r="L58" s="148">
        <f t="shared" ca="1" si="8"/>
        <v>0</v>
      </c>
      <c r="M58" s="148"/>
      <c r="N58" s="217"/>
    </row>
    <row r="59" spans="1:14">
      <c r="A59" s="24" t="str">
        <f t="shared" ca="1" si="4"/>
        <v/>
      </c>
      <c r="B59" s="150" t="str">
        <f ca="1">IF(ROWS($1:46)&gt;COUNT(_DNL1),"",OFFSET(TH!D$1,SMALL(_DNL1,ROWS($1:46)),)&amp;"/"&amp;OFFSET(TH!C$1,SMALL(_DNL1,ROWS($1:46)),))</f>
        <v/>
      </c>
      <c r="C59" s="151" t="str">
        <f ca="1">IF(ROWS($1:46)&gt;COUNT(_DNL1),"",OFFSET(TH!E$1,SMALL(_DNL1,ROWS($1:46)),))</f>
        <v/>
      </c>
      <c r="D59" s="152" t="str">
        <f ca="1">IF(ROWS($1:46)&gt;COUNT(_DNL1),"",OFFSET(TH!F$1,SMALL(_DNL1,ROWS($1:46)),))</f>
        <v/>
      </c>
      <c r="E59" s="150" t="str">
        <f ca="1">IF(ROWS($1:46)&gt;COUNT(_DNL1),"",IF(OFFSET(TH!H$1,SMALL(_DNL1,ROWS($1:46)),)="1521",OFFSET(TH!I$1,SMALL(_DNL1,ROWS($1:46)),),OFFSET(TH!H$1,SMALL(_DNL1,ROWS($1:46)),)))</f>
        <v/>
      </c>
      <c r="F59" s="153">
        <f ca="1">IF(ROWS($1:46)&gt;COUNT(_DNL1),0,OFFSET(TH!J$1,SMALL(_DNL1,ROWS($1:46)),))</f>
        <v>0</v>
      </c>
      <c r="G59" s="153">
        <f ca="1">IF(ROWS($1:46)&gt;COUNT(_DNL1),0,IF(OFFSET(TH!K$1,SMALL(_DNL1,ROWS($1:46)),)&lt;&gt;0,OFFSET(TH!K$1,SMALL(_DNL1,ROWS($1:46)),),0))</f>
        <v>0</v>
      </c>
      <c r="H59" s="148">
        <f t="shared" ca="1" si="5"/>
        <v>0</v>
      </c>
      <c r="I59" s="153">
        <f ca="1">IF(ROWS($1:46)&gt;COUNT(_DNL1),0,IF(OFFSET(TH!M$1,SMALL(_DNL1,ROWS($1:46)),)&lt;&gt;0,OFFSET(TH!M$1,SMALL(_DNL1,ROWS($1:46)),),0))</f>
        <v>0</v>
      </c>
      <c r="J59" s="148">
        <f t="shared" ca="1" si="6"/>
        <v>0</v>
      </c>
      <c r="K59" s="148">
        <f t="shared" ca="1" si="7"/>
        <v>0</v>
      </c>
      <c r="L59" s="148">
        <f t="shared" ca="1" si="8"/>
        <v>0</v>
      </c>
      <c r="M59" s="148"/>
      <c r="N59" s="217"/>
    </row>
    <row r="60" spans="1:14">
      <c r="A60" s="24" t="str">
        <f t="shared" ca="1" si="4"/>
        <v/>
      </c>
      <c r="B60" s="150" t="str">
        <f ca="1">IF(ROWS($1:47)&gt;COUNT(_DNL1),"",OFFSET(TH!D$1,SMALL(_DNL1,ROWS($1:47)),)&amp;"/"&amp;OFFSET(TH!C$1,SMALL(_DNL1,ROWS($1:47)),))</f>
        <v/>
      </c>
      <c r="C60" s="151" t="str">
        <f ca="1">IF(ROWS($1:47)&gt;COUNT(_DNL1),"",OFFSET(TH!E$1,SMALL(_DNL1,ROWS($1:47)),))</f>
        <v/>
      </c>
      <c r="D60" s="152" t="str">
        <f ca="1">IF(ROWS($1:47)&gt;COUNT(_DNL1),"",OFFSET(TH!F$1,SMALL(_DNL1,ROWS($1:47)),))</f>
        <v/>
      </c>
      <c r="E60" s="150" t="str">
        <f ca="1">IF(ROWS($1:47)&gt;COUNT(_DNL1),"",IF(OFFSET(TH!H$1,SMALL(_DNL1,ROWS($1:47)),)="1521",OFFSET(TH!I$1,SMALL(_DNL1,ROWS($1:47)),),OFFSET(TH!H$1,SMALL(_DNL1,ROWS($1:47)),)))</f>
        <v/>
      </c>
      <c r="F60" s="153">
        <f ca="1">IF(ROWS($1:47)&gt;COUNT(_DNL1),0,OFFSET(TH!J$1,SMALL(_DNL1,ROWS($1:47)),))</f>
        <v>0</v>
      </c>
      <c r="G60" s="153">
        <f ca="1">IF(ROWS($1:47)&gt;COUNT(_DNL1),0,IF(OFFSET(TH!K$1,SMALL(_DNL1,ROWS($1:47)),)&lt;&gt;0,OFFSET(TH!K$1,SMALL(_DNL1,ROWS($1:47)),),0))</f>
        <v>0</v>
      </c>
      <c r="H60" s="148">
        <f t="shared" ca="1" si="5"/>
        <v>0</v>
      </c>
      <c r="I60" s="153">
        <f ca="1">IF(ROWS($1:47)&gt;COUNT(_DNL1),0,IF(OFFSET(TH!M$1,SMALL(_DNL1,ROWS($1:47)),)&lt;&gt;0,OFFSET(TH!M$1,SMALL(_DNL1,ROWS($1:47)),),0))</f>
        <v>0</v>
      </c>
      <c r="J60" s="148">
        <f t="shared" ca="1" si="6"/>
        <v>0</v>
      </c>
      <c r="K60" s="148">
        <f t="shared" ca="1" si="7"/>
        <v>0</v>
      </c>
      <c r="L60" s="148">
        <f t="shared" ca="1" si="8"/>
        <v>0</v>
      </c>
      <c r="M60" s="148"/>
      <c r="N60" s="217"/>
    </row>
    <row r="61" spans="1:14">
      <c r="A61" s="24" t="str">
        <f t="shared" ca="1" si="4"/>
        <v/>
      </c>
      <c r="B61" s="150" t="str">
        <f ca="1">IF(ROWS($1:48)&gt;COUNT(_DNL1),"",OFFSET(TH!D$1,SMALL(_DNL1,ROWS($1:48)),)&amp;"/"&amp;OFFSET(TH!C$1,SMALL(_DNL1,ROWS($1:48)),))</f>
        <v/>
      </c>
      <c r="C61" s="151" t="str">
        <f ca="1">IF(ROWS($1:48)&gt;COUNT(_DNL1),"",OFFSET(TH!E$1,SMALL(_DNL1,ROWS($1:48)),))</f>
        <v/>
      </c>
      <c r="D61" s="152" t="str">
        <f ca="1">IF(ROWS($1:48)&gt;COUNT(_DNL1),"",OFFSET(TH!F$1,SMALL(_DNL1,ROWS($1:48)),))</f>
        <v/>
      </c>
      <c r="E61" s="150" t="str">
        <f ca="1">IF(ROWS($1:48)&gt;COUNT(_DNL1),"",IF(OFFSET(TH!H$1,SMALL(_DNL1,ROWS($1:48)),)="1521",OFFSET(TH!I$1,SMALL(_DNL1,ROWS($1:48)),),OFFSET(TH!H$1,SMALL(_DNL1,ROWS($1:48)),)))</f>
        <v/>
      </c>
      <c r="F61" s="153">
        <f ca="1">IF(ROWS($1:48)&gt;COUNT(_DNL1),0,OFFSET(TH!J$1,SMALL(_DNL1,ROWS($1:48)),))</f>
        <v>0</v>
      </c>
      <c r="G61" s="153">
        <f ca="1">IF(ROWS($1:48)&gt;COUNT(_DNL1),0,IF(OFFSET(TH!K$1,SMALL(_DNL1,ROWS($1:48)),)&lt;&gt;0,OFFSET(TH!K$1,SMALL(_DNL1,ROWS($1:48)),),0))</f>
        <v>0</v>
      </c>
      <c r="H61" s="148">
        <f t="shared" ca="1" si="5"/>
        <v>0</v>
      </c>
      <c r="I61" s="153">
        <f ca="1">IF(ROWS($1:48)&gt;COUNT(_DNL1),0,IF(OFFSET(TH!M$1,SMALL(_DNL1,ROWS($1:48)),)&lt;&gt;0,OFFSET(TH!M$1,SMALL(_DNL1,ROWS($1:48)),),0))</f>
        <v>0</v>
      </c>
      <c r="J61" s="148">
        <f t="shared" ca="1" si="6"/>
        <v>0</v>
      </c>
      <c r="K61" s="148">
        <f t="shared" ca="1" si="7"/>
        <v>0</v>
      </c>
      <c r="L61" s="148">
        <f t="shared" ca="1" si="8"/>
        <v>0</v>
      </c>
      <c r="M61" s="148"/>
      <c r="N61" s="217"/>
    </row>
    <row r="62" spans="1:14">
      <c r="A62" s="24" t="str">
        <f t="shared" ca="1" si="4"/>
        <v/>
      </c>
      <c r="B62" s="150" t="str">
        <f ca="1">IF(ROWS($1:49)&gt;COUNT(_DNL1),"",OFFSET(TH!D$1,SMALL(_DNL1,ROWS($1:49)),)&amp;"/"&amp;OFFSET(TH!C$1,SMALL(_DNL1,ROWS($1:49)),))</f>
        <v/>
      </c>
      <c r="C62" s="151" t="str">
        <f ca="1">IF(ROWS($1:49)&gt;COUNT(_DNL1),"",OFFSET(TH!E$1,SMALL(_DNL1,ROWS($1:49)),))</f>
        <v/>
      </c>
      <c r="D62" s="152" t="str">
        <f ca="1">IF(ROWS($1:49)&gt;COUNT(_DNL1),"",OFFSET(TH!F$1,SMALL(_DNL1,ROWS($1:49)),))</f>
        <v/>
      </c>
      <c r="E62" s="150" t="str">
        <f ca="1">IF(ROWS($1:49)&gt;COUNT(_DNL1),"",IF(OFFSET(TH!H$1,SMALL(_DNL1,ROWS($1:49)),)="1521",OFFSET(TH!I$1,SMALL(_DNL1,ROWS($1:49)),),OFFSET(TH!H$1,SMALL(_DNL1,ROWS($1:49)),)))</f>
        <v/>
      </c>
      <c r="F62" s="153">
        <f ca="1">IF(ROWS($1:49)&gt;COUNT(_DNL1),0,OFFSET(TH!J$1,SMALL(_DNL1,ROWS($1:49)),))</f>
        <v>0</v>
      </c>
      <c r="G62" s="153">
        <f ca="1">IF(ROWS($1:49)&gt;COUNT(_DNL1),0,IF(OFFSET(TH!K$1,SMALL(_DNL1,ROWS($1:49)),)&lt;&gt;0,OFFSET(TH!K$1,SMALL(_DNL1,ROWS($1:49)),),0))</f>
        <v>0</v>
      </c>
      <c r="H62" s="148">
        <f t="shared" ca="1" si="5"/>
        <v>0</v>
      </c>
      <c r="I62" s="153">
        <f ca="1">IF(ROWS($1:49)&gt;COUNT(_DNL1),0,IF(OFFSET(TH!M$1,SMALL(_DNL1,ROWS($1:49)),)&lt;&gt;0,OFFSET(TH!M$1,SMALL(_DNL1,ROWS($1:49)),),0))</f>
        <v>0</v>
      </c>
      <c r="J62" s="148">
        <f t="shared" ca="1" si="6"/>
        <v>0</v>
      </c>
      <c r="K62" s="148">
        <f t="shared" ca="1" si="7"/>
        <v>0</v>
      </c>
      <c r="L62" s="148">
        <f t="shared" ca="1" si="8"/>
        <v>0</v>
      </c>
      <c r="M62" s="148"/>
      <c r="N62" s="217"/>
    </row>
    <row r="63" spans="1:14">
      <c r="A63" s="24" t="str">
        <f t="shared" ca="1" si="4"/>
        <v/>
      </c>
      <c r="B63" s="150" t="str">
        <f ca="1">IF(ROWS($1:50)&gt;COUNT(_DNL1),"",OFFSET(TH!D$1,SMALL(_DNL1,ROWS($1:50)),)&amp;"/"&amp;OFFSET(TH!C$1,SMALL(_DNL1,ROWS($1:50)),))</f>
        <v/>
      </c>
      <c r="C63" s="151" t="str">
        <f ca="1">IF(ROWS($1:50)&gt;COUNT(_DNL1),"",OFFSET(TH!E$1,SMALL(_DNL1,ROWS($1:50)),))</f>
        <v/>
      </c>
      <c r="D63" s="152" t="str">
        <f ca="1">IF(ROWS($1:50)&gt;COUNT(_DNL1),"",OFFSET(TH!F$1,SMALL(_DNL1,ROWS($1:50)),))</f>
        <v/>
      </c>
      <c r="E63" s="150" t="str">
        <f ca="1">IF(ROWS($1:50)&gt;COUNT(_DNL1),"",IF(OFFSET(TH!H$1,SMALL(_DNL1,ROWS($1:50)),)="1521",OFFSET(TH!I$1,SMALL(_DNL1,ROWS($1:50)),),OFFSET(TH!H$1,SMALL(_DNL1,ROWS($1:50)),)))</f>
        <v/>
      </c>
      <c r="F63" s="153">
        <f ca="1">IF(ROWS($1:50)&gt;COUNT(_DNL1),0,OFFSET(TH!J$1,SMALL(_DNL1,ROWS($1:50)),))</f>
        <v>0</v>
      </c>
      <c r="G63" s="153">
        <f ca="1">IF(ROWS($1:50)&gt;COUNT(_DNL1),0,IF(OFFSET(TH!K$1,SMALL(_DNL1,ROWS($1:50)),)&lt;&gt;0,OFFSET(TH!K$1,SMALL(_DNL1,ROWS($1:50)),),0))</f>
        <v>0</v>
      </c>
      <c r="H63" s="148">
        <f t="shared" ca="1" si="5"/>
        <v>0</v>
      </c>
      <c r="I63" s="153">
        <f ca="1">IF(ROWS($1:50)&gt;COUNT(_DNL1),0,IF(OFFSET(TH!M$1,SMALL(_DNL1,ROWS($1:50)),)&lt;&gt;0,OFFSET(TH!M$1,SMALL(_DNL1,ROWS($1:50)),),0))</f>
        <v>0</v>
      </c>
      <c r="J63" s="148">
        <f t="shared" ca="1" si="6"/>
        <v>0</v>
      </c>
      <c r="K63" s="148">
        <f t="shared" ca="1" si="7"/>
        <v>0</v>
      </c>
      <c r="L63" s="148">
        <f t="shared" ca="1" si="8"/>
        <v>0</v>
      </c>
      <c r="M63" s="148"/>
      <c r="N63" s="217"/>
    </row>
    <row r="64" spans="1:14">
      <c r="A64" s="24" t="str">
        <f t="shared" ca="1" si="4"/>
        <v/>
      </c>
      <c r="B64" s="150" t="str">
        <f ca="1">IF(ROWS($1:51)&gt;COUNT(_DNL1),"",OFFSET(TH!D$1,SMALL(_DNL1,ROWS($1:51)),)&amp;"/"&amp;OFFSET(TH!C$1,SMALL(_DNL1,ROWS($1:51)),))</f>
        <v/>
      </c>
      <c r="C64" s="151" t="str">
        <f ca="1">IF(ROWS($1:51)&gt;COUNT(_DNL1),"",OFFSET(TH!E$1,SMALL(_DNL1,ROWS($1:51)),))</f>
        <v/>
      </c>
      <c r="D64" s="152" t="str">
        <f ca="1">IF(ROWS($1:51)&gt;COUNT(_DNL1),"",OFFSET(TH!F$1,SMALL(_DNL1,ROWS($1:51)),))</f>
        <v/>
      </c>
      <c r="E64" s="150" t="str">
        <f ca="1">IF(ROWS($1:51)&gt;COUNT(_DNL1),"",IF(OFFSET(TH!H$1,SMALL(_DNL1,ROWS($1:51)),)="1521",OFFSET(TH!I$1,SMALL(_DNL1,ROWS($1:51)),),OFFSET(TH!H$1,SMALL(_DNL1,ROWS($1:51)),)))</f>
        <v/>
      </c>
      <c r="F64" s="153">
        <f ca="1">IF(ROWS($1:51)&gt;COUNT(_DNL1),0,OFFSET(TH!J$1,SMALL(_DNL1,ROWS($1:51)),))</f>
        <v>0</v>
      </c>
      <c r="G64" s="153">
        <f ca="1">IF(ROWS($1:51)&gt;COUNT(_DNL1),0,IF(OFFSET(TH!K$1,SMALL(_DNL1,ROWS($1:51)),)&lt;&gt;0,OFFSET(TH!K$1,SMALL(_DNL1,ROWS($1:51)),),0))</f>
        <v>0</v>
      </c>
      <c r="H64" s="148">
        <f t="shared" ca="1" si="5"/>
        <v>0</v>
      </c>
      <c r="I64" s="153">
        <f ca="1">IF(ROWS($1:51)&gt;COUNT(_DNL1),0,IF(OFFSET(TH!M$1,SMALL(_DNL1,ROWS($1:51)),)&lt;&gt;0,OFFSET(TH!M$1,SMALL(_DNL1,ROWS($1:51)),),0))</f>
        <v>0</v>
      </c>
      <c r="J64" s="148">
        <f t="shared" ca="1" si="6"/>
        <v>0</v>
      </c>
      <c r="K64" s="148">
        <f t="shared" ca="1" si="7"/>
        <v>0</v>
      </c>
      <c r="L64" s="148">
        <f t="shared" ca="1" si="8"/>
        <v>0</v>
      </c>
      <c r="M64" s="148"/>
      <c r="N64" s="217"/>
    </row>
    <row r="65" spans="1:14">
      <c r="A65" s="24" t="str">
        <f t="shared" ca="1" si="4"/>
        <v/>
      </c>
      <c r="B65" s="150" t="str">
        <f ca="1">IF(ROWS($1:52)&gt;COUNT(_DNL1),"",OFFSET(TH!D$1,SMALL(_DNL1,ROWS($1:52)),)&amp;"/"&amp;OFFSET(TH!C$1,SMALL(_DNL1,ROWS($1:52)),))</f>
        <v/>
      </c>
      <c r="C65" s="151" t="str">
        <f ca="1">IF(ROWS($1:52)&gt;COUNT(_DNL1),"",OFFSET(TH!E$1,SMALL(_DNL1,ROWS($1:52)),))</f>
        <v/>
      </c>
      <c r="D65" s="152" t="str">
        <f ca="1">IF(ROWS($1:52)&gt;COUNT(_DNL1),"",OFFSET(TH!F$1,SMALL(_DNL1,ROWS($1:52)),))</f>
        <v/>
      </c>
      <c r="E65" s="150" t="str">
        <f ca="1">IF(ROWS($1:52)&gt;COUNT(_DNL1),"",IF(OFFSET(TH!H$1,SMALL(_DNL1,ROWS($1:52)),)="1521",OFFSET(TH!I$1,SMALL(_DNL1,ROWS($1:52)),),OFFSET(TH!H$1,SMALL(_DNL1,ROWS($1:52)),)))</f>
        <v/>
      </c>
      <c r="F65" s="153">
        <f ca="1">IF(ROWS($1:52)&gt;COUNT(_DNL1),0,OFFSET(TH!J$1,SMALL(_DNL1,ROWS($1:52)),))</f>
        <v>0</v>
      </c>
      <c r="G65" s="153">
        <f ca="1">IF(ROWS($1:52)&gt;COUNT(_DNL1),0,IF(OFFSET(TH!K$1,SMALL(_DNL1,ROWS($1:52)),)&lt;&gt;0,OFFSET(TH!K$1,SMALL(_DNL1,ROWS($1:52)),),0))</f>
        <v>0</v>
      </c>
      <c r="H65" s="148">
        <f t="shared" ca="1" si="5"/>
        <v>0</v>
      </c>
      <c r="I65" s="153">
        <f ca="1">IF(ROWS($1:52)&gt;COUNT(_DNL1),0,IF(OFFSET(TH!M$1,SMALL(_DNL1,ROWS($1:52)),)&lt;&gt;0,OFFSET(TH!M$1,SMALL(_DNL1,ROWS($1:52)),),0))</f>
        <v>0</v>
      </c>
      <c r="J65" s="148">
        <f t="shared" ca="1" si="6"/>
        <v>0</v>
      </c>
      <c r="K65" s="148">
        <f t="shared" ca="1" si="7"/>
        <v>0</v>
      </c>
      <c r="L65" s="148">
        <f t="shared" ca="1" si="8"/>
        <v>0</v>
      </c>
      <c r="M65" s="148"/>
      <c r="N65" s="217"/>
    </row>
    <row r="66" spans="1:14">
      <c r="A66" s="24" t="str">
        <f t="shared" ca="1" si="4"/>
        <v/>
      </c>
      <c r="B66" s="150" t="str">
        <f ca="1">IF(ROWS($1:53)&gt;COUNT(_DNL1),"",OFFSET(TH!D$1,SMALL(_DNL1,ROWS($1:53)),)&amp;"/"&amp;OFFSET(TH!C$1,SMALL(_DNL1,ROWS($1:53)),))</f>
        <v/>
      </c>
      <c r="C66" s="151" t="str">
        <f ca="1">IF(ROWS($1:53)&gt;COUNT(_DNL1),"",OFFSET(TH!E$1,SMALL(_DNL1,ROWS($1:53)),))</f>
        <v/>
      </c>
      <c r="D66" s="152" t="str">
        <f ca="1">IF(ROWS($1:53)&gt;COUNT(_DNL1),"",OFFSET(TH!F$1,SMALL(_DNL1,ROWS($1:53)),))</f>
        <v/>
      </c>
      <c r="E66" s="150" t="str">
        <f ca="1">IF(ROWS($1:53)&gt;COUNT(_DNL1),"",IF(OFFSET(TH!H$1,SMALL(_DNL1,ROWS($1:53)),)="1521",OFFSET(TH!I$1,SMALL(_DNL1,ROWS($1:53)),),OFFSET(TH!H$1,SMALL(_DNL1,ROWS($1:53)),)))</f>
        <v/>
      </c>
      <c r="F66" s="153">
        <f ca="1">IF(ROWS($1:53)&gt;COUNT(_DNL1),0,OFFSET(TH!J$1,SMALL(_DNL1,ROWS($1:53)),))</f>
        <v>0</v>
      </c>
      <c r="G66" s="153">
        <f ca="1">IF(ROWS($1:53)&gt;COUNT(_DNL1),0,IF(OFFSET(TH!K$1,SMALL(_DNL1,ROWS($1:53)),)&lt;&gt;0,OFFSET(TH!K$1,SMALL(_DNL1,ROWS($1:53)),),0))</f>
        <v>0</v>
      </c>
      <c r="H66" s="148">
        <f t="shared" ca="1" si="5"/>
        <v>0</v>
      </c>
      <c r="I66" s="153">
        <f ca="1">IF(ROWS($1:53)&gt;COUNT(_DNL1),0,IF(OFFSET(TH!M$1,SMALL(_DNL1,ROWS($1:53)),)&lt;&gt;0,OFFSET(TH!M$1,SMALL(_DNL1,ROWS($1:53)),),0))</f>
        <v>0</v>
      </c>
      <c r="J66" s="148">
        <f t="shared" ca="1" si="6"/>
        <v>0</v>
      </c>
      <c r="K66" s="148">
        <f t="shared" ca="1" si="7"/>
        <v>0</v>
      </c>
      <c r="L66" s="148">
        <f t="shared" ca="1" si="8"/>
        <v>0</v>
      </c>
      <c r="M66" s="148"/>
      <c r="N66" s="217"/>
    </row>
    <row r="67" spans="1:14">
      <c r="A67" s="24" t="str">
        <f t="shared" ca="1" si="4"/>
        <v/>
      </c>
      <c r="B67" s="150" t="str">
        <f ca="1">IF(ROWS($1:54)&gt;COUNT(_DNL1),"",OFFSET(TH!D$1,SMALL(_DNL1,ROWS($1:54)),)&amp;"/"&amp;OFFSET(TH!C$1,SMALL(_DNL1,ROWS($1:54)),))</f>
        <v/>
      </c>
      <c r="C67" s="151" t="str">
        <f ca="1">IF(ROWS($1:54)&gt;COUNT(_DNL1),"",OFFSET(TH!E$1,SMALL(_DNL1,ROWS($1:54)),))</f>
        <v/>
      </c>
      <c r="D67" s="152" t="str">
        <f ca="1">IF(ROWS($1:54)&gt;COUNT(_DNL1),"",OFFSET(TH!F$1,SMALL(_DNL1,ROWS($1:54)),))</f>
        <v/>
      </c>
      <c r="E67" s="150" t="str">
        <f ca="1">IF(ROWS($1:54)&gt;COUNT(_DNL1),"",IF(OFFSET(TH!H$1,SMALL(_DNL1,ROWS($1:54)),)="1521",OFFSET(TH!I$1,SMALL(_DNL1,ROWS($1:54)),),OFFSET(TH!H$1,SMALL(_DNL1,ROWS($1:54)),)))</f>
        <v/>
      </c>
      <c r="F67" s="153">
        <f ca="1">IF(ROWS($1:54)&gt;COUNT(_DNL1),0,OFFSET(TH!J$1,SMALL(_DNL1,ROWS($1:54)),))</f>
        <v>0</v>
      </c>
      <c r="G67" s="153">
        <f ca="1">IF(ROWS($1:54)&gt;COUNT(_DNL1),0,IF(OFFSET(TH!K$1,SMALL(_DNL1,ROWS($1:54)),)&lt;&gt;0,OFFSET(TH!K$1,SMALL(_DNL1,ROWS($1:54)),),0))</f>
        <v>0</v>
      </c>
      <c r="H67" s="148">
        <f t="shared" ca="1" si="5"/>
        <v>0</v>
      </c>
      <c r="I67" s="153">
        <f ca="1">IF(ROWS($1:54)&gt;COUNT(_DNL1),0,IF(OFFSET(TH!M$1,SMALL(_DNL1,ROWS($1:54)),)&lt;&gt;0,OFFSET(TH!M$1,SMALL(_DNL1,ROWS($1:54)),),0))</f>
        <v>0</v>
      </c>
      <c r="J67" s="148">
        <f t="shared" ca="1" si="6"/>
        <v>0</v>
      </c>
      <c r="K67" s="148">
        <f t="shared" ca="1" si="7"/>
        <v>0</v>
      </c>
      <c r="L67" s="148">
        <f t="shared" ca="1" si="8"/>
        <v>0</v>
      </c>
      <c r="M67" s="148"/>
      <c r="N67" s="217"/>
    </row>
    <row r="68" spans="1:14">
      <c r="A68" s="24" t="str">
        <f t="shared" ca="1" si="4"/>
        <v/>
      </c>
      <c r="B68" s="150" t="str">
        <f ca="1">IF(ROWS($1:55)&gt;COUNT(_DNL1),"",OFFSET(TH!D$1,SMALL(_DNL1,ROWS($1:55)),)&amp;"/"&amp;OFFSET(TH!C$1,SMALL(_DNL1,ROWS($1:55)),))</f>
        <v/>
      </c>
      <c r="C68" s="151" t="str">
        <f ca="1">IF(ROWS($1:55)&gt;COUNT(_DNL1),"",OFFSET(TH!E$1,SMALL(_DNL1,ROWS($1:55)),))</f>
        <v/>
      </c>
      <c r="D68" s="152" t="str">
        <f ca="1">IF(ROWS($1:55)&gt;COUNT(_DNL1),"",OFFSET(TH!F$1,SMALL(_DNL1,ROWS($1:55)),))</f>
        <v/>
      </c>
      <c r="E68" s="150" t="str">
        <f ca="1">IF(ROWS($1:55)&gt;COUNT(_DNL1),"",IF(OFFSET(TH!H$1,SMALL(_DNL1,ROWS($1:55)),)="1521",OFFSET(TH!I$1,SMALL(_DNL1,ROWS($1:55)),),OFFSET(TH!H$1,SMALL(_DNL1,ROWS($1:55)),)))</f>
        <v/>
      </c>
      <c r="F68" s="153">
        <f ca="1">IF(ROWS($1:55)&gt;COUNT(_DNL1),0,OFFSET(TH!J$1,SMALL(_DNL1,ROWS($1:55)),))</f>
        <v>0</v>
      </c>
      <c r="G68" s="153">
        <f ca="1">IF(ROWS($1:55)&gt;COUNT(_DNL1),0,IF(OFFSET(TH!K$1,SMALL(_DNL1,ROWS($1:55)),)&lt;&gt;0,OFFSET(TH!K$1,SMALL(_DNL1,ROWS($1:55)),),0))</f>
        <v>0</v>
      </c>
      <c r="H68" s="148">
        <f t="shared" ca="1" si="5"/>
        <v>0</v>
      </c>
      <c r="I68" s="153">
        <f ca="1">IF(ROWS($1:55)&gt;COUNT(_DNL1),0,IF(OFFSET(TH!M$1,SMALL(_DNL1,ROWS($1:55)),)&lt;&gt;0,OFFSET(TH!M$1,SMALL(_DNL1,ROWS($1:55)),),0))</f>
        <v>0</v>
      </c>
      <c r="J68" s="148">
        <f t="shared" ca="1" si="6"/>
        <v>0</v>
      </c>
      <c r="K68" s="148">
        <f t="shared" ca="1" si="7"/>
        <v>0</v>
      </c>
      <c r="L68" s="148">
        <f t="shared" ca="1" si="8"/>
        <v>0</v>
      </c>
      <c r="M68" s="148"/>
      <c r="N68" s="217"/>
    </row>
    <row r="69" spans="1:14">
      <c r="A69" s="24" t="str">
        <f t="shared" ca="1" si="4"/>
        <v/>
      </c>
      <c r="B69" s="150" t="str">
        <f ca="1">IF(ROWS($1:56)&gt;COUNT(_DNL1),"",OFFSET(TH!D$1,SMALL(_DNL1,ROWS($1:56)),)&amp;"/"&amp;OFFSET(TH!C$1,SMALL(_DNL1,ROWS($1:56)),))</f>
        <v/>
      </c>
      <c r="C69" s="151" t="str">
        <f ca="1">IF(ROWS($1:56)&gt;COUNT(_DNL1),"",OFFSET(TH!E$1,SMALL(_DNL1,ROWS($1:56)),))</f>
        <v/>
      </c>
      <c r="D69" s="152" t="str">
        <f ca="1">IF(ROWS($1:56)&gt;COUNT(_DNL1),"",OFFSET(TH!F$1,SMALL(_DNL1,ROWS($1:56)),))</f>
        <v/>
      </c>
      <c r="E69" s="150" t="str">
        <f ca="1">IF(ROWS($1:56)&gt;COUNT(_DNL1),"",IF(OFFSET(TH!H$1,SMALL(_DNL1,ROWS($1:56)),)="1521",OFFSET(TH!I$1,SMALL(_DNL1,ROWS($1:56)),),OFFSET(TH!H$1,SMALL(_DNL1,ROWS($1:56)),)))</f>
        <v/>
      </c>
      <c r="F69" s="153">
        <f ca="1">IF(ROWS($1:56)&gt;COUNT(_DNL1),0,OFFSET(TH!J$1,SMALL(_DNL1,ROWS($1:56)),))</f>
        <v>0</v>
      </c>
      <c r="G69" s="153">
        <f ca="1">IF(ROWS($1:56)&gt;COUNT(_DNL1),0,IF(OFFSET(TH!K$1,SMALL(_DNL1,ROWS($1:56)),)&lt;&gt;0,OFFSET(TH!K$1,SMALL(_DNL1,ROWS($1:56)),),0))</f>
        <v>0</v>
      </c>
      <c r="H69" s="148">
        <f t="shared" ca="1" si="5"/>
        <v>0</v>
      </c>
      <c r="I69" s="153">
        <f ca="1">IF(ROWS($1:56)&gt;COUNT(_DNL1),0,IF(OFFSET(TH!M$1,SMALL(_DNL1,ROWS($1:56)),)&lt;&gt;0,OFFSET(TH!M$1,SMALL(_DNL1,ROWS($1:56)),),0))</f>
        <v>0</v>
      </c>
      <c r="J69" s="148">
        <f t="shared" ca="1" si="6"/>
        <v>0</v>
      </c>
      <c r="K69" s="148">
        <f t="shared" ca="1" si="7"/>
        <v>0</v>
      </c>
      <c r="L69" s="148">
        <f t="shared" ca="1" si="8"/>
        <v>0</v>
      </c>
      <c r="M69" s="148"/>
      <c r="N69" s="217"/>
    </row>
    <row r="70" spans="1:14">
      <c r="A70" s="24" t="str">
        <f t="shared" ca="1" si="4"/>
        <v/>
      </c>
      <c r="B70" s="150" t="str">
        <f ca="1">IF(ROWS($1:57)&gt;COUNT(_DNL1),"",OFFSET(TH!D$1,SMALL(_DNL1,ROWS($1:57)),)&amp;"/"&amp;OFFSET(TH!C$1,SMALL(_DNL1,ROWS($1:57)),))</f>
        <v/>
      </c>
      <c r="C70" s="151" t="str">
        <f ca="1">IF(ROWS($1:57)&gt;COUNT(_DNL1),"",OFFSET(TH!E$1,SMALL(_DNL1,ROWS($1:57)),))</f>
        <v/>
      </c>
      <c r="D70" s="152" t="str">
        <f ca="1">IF(ROWS($1:57)&gt;COUNT(_DNL1),"",OFFSET(TH!F$1,SMALL(_DNL1,ROWS($1:57)),))</f>
        <v/>
      </c>
      <c r="E70" s="150" t="str">
        <f ca="1">IF(ROWS($1:57)&gt;COUNT(_DNL1),"",IF(OFFSET(TH!H$1,SMALL(_DNL1,ROWS($1:57)),)="1521",OFFSET(TH!I$1,SMALL(_DNL1,ROWS($1:57)),),OFFSET(TH!H$1,SMALL(_DNL1,ROWS($1:57)),)))</f>
        <v/>
      </c>
      <c r="F70" s="153">
        <f ca="1">IF(ROWS($1:57)&gt;COUNT(_DNL1),0,OFFSET(TH!J$1,SMALL(_DNL1,ROWS($1:57)),))</f>
        <v>0</v>
      </c>
      <c r="G70" s="153">
        <f ca="1">IF(ROWS($1:57)&gt;COUNT(_DNL1),0,IF(OFFSET(TH!K$1,SMALL(_DNL1,ROWS($1:57)),)&lt;&gt;0,OFFSET(TH!K$1,SMALL(_DNL1,ROWS($1:57)),),0))</f>
        <v>0</v>
      </c>
      <c r="H70" s="148">
        <f t="shared" ca="1" si="5"/>
        <v>0</v>
      </c>
      <c r="I70" s="153">
        <f ca="1">IF(ROWS($1:57)&gt;COUNT(_DNL1),0,IF(OFFSET(TH!M$1,SMALL(_DNL1,ROWS($1:57)),)&lt;&gt;0,OFFSET(TH!M$1,SMALL(_DNL1,ROWS($1:57)),),0))</f>
        <v>0</v>
      </c>
      <c r="J70" s="148">
        <f t="shared" ca="1" si="6"/>
        <v>0</v>
      </c>
      <c r="K70" s="148">
        <f t="shared" ca="1" si="7"/>
        <v>0</v>
      </c>
      <c r="L70" s="148">
        <f t="shared" ca="1" si="8"/>
        <v>0</v>
      </c>
      <c r="M70" s="148"/>
      <c r="N70" s="217"/>
    </row>
    <row r="71" spans="1:14">
      <c r="A71" s="24" t="str">
        <f t="shared" ca="1" si="4"/>
        <v/>
      </c>
      <c r="B71" s="150" t="str">
        <f ca="1">IF(ROWS($1:58)&gt;COUNT(_DNL1),"",OFFSET(TH!D$1,SMALL(_DNL1,ROWS($1:58)),)&amp;"/"&amp;OFFSET(TH!C$1,SMALL(_DNL1,ROWS($1:58)),))</f>
        <v/>
      </c>
      <c r="C71" s="151" t="str">
        <f ca="1">IF(ROWS($1:58)&gt;COUNT(_DNL1),"",OFFSET(TH!E$1,SMALL(_DNL1,ROWS($1:58)),))</f>
        <v/>
      </c>
      <c r="D71" s="152" t="str">
        <f ca="1">IF(ROWS($1:58)&gt;COUNT(_DNL1),"",OFFSET(TH!F$1,SMALL(_DNL1,ROWS($1:58)),))</f>
        <v/>
      </c>
      <c r="E71" s="150" t="str">
        <f ca="1">IF(ROWS($1:58)&gt;COUNT(_DNL1),"",IF(OFFSET(TH!H$1,SMALL(_DNL1,ROWS($1:58)),)="1521",OFFSET(TH!I$1,SMALL(_DNL1,ROWS($1:58)),),OFFSET(TH!H$1,SMALL(_DNL1,ROWS($1:58)),)))</f>
        <v/>
      </c>
      <c r="F71" s="153">
        <f ca="1">IF(ROWS($1:58)&gt;COUNT(_DNL1),0,OFFSET(TH!J$1,SMALL(_DNL1,ROWS($1:58)),))</f>
        <v>0</v>
      </c>
      <c r="G71" s="153">
        <f ca="1">IF(ROWS($1:58)&gt;COUNT(_DNL1),0,IF(OFFSET(TH!K$1,SMALL(_DNL1,ROWS($1:58)),)&lt;&gt;0,OFFSET(TH!K$1,SMALL(_DNL1,ROWS($1:58)),),0))</f>
        <v>0</v>
      </c>
      <c r="H71" s="148">
        <f t="shared" ca="1" si="5"/>
        <v>0</v>
      </c>
      <c r="I71" s="153">
        <f ca="1">IF(ROWS($1:58)&gt;COUNT(_DNL1),0,IF(OFFSET(TH!M$1,SMALL(_DNL1,ROWS($1:58)),)&lt;&gt;0,OFFSET(TH!M$1,SMALL(_DNL1,ROWS($1:58)),),0))</f>
        <v>0</v>
      </c>
      <c r="J71" s="148">
        <f t="shared" ca="1" si="6"/>
        <v>0</v>
      </c>
      <c r="K71" s="148">
        <f t="shared" ca="1" si="7"/>
        <v>0</v>
      </c>
      <c r="L71" s="148">
        <f t="shared" ca="1" si="8"/>
        <v>0</v>
      </c>
      <c r="M71" s="148"/>
      <c r="N71" s="217"/>
    </row>
    <row r="72" spans="1:14">
      <c r="A72" s="24"/>
      <c r="B72" s="17"/>
      <c r="C72" s="18"/>
      <c r="D72" s="19"/>
      <c r="E72" s="57"/>
      <c r="F72" s="69"/>
      <c r="G72" s="15"/>
      <c r="H72" s="15"/>
      <c r="I72" s="15"/>
      <c r="J72" s="15"/>
      <c r="K72" s="15"/>
      <c r="L72" s="15"/>
      <c r="M72" s="25"/>
      <c r="N72" s="217"/>
    </row>
    <row r="73" spans="1:14">
      <c r="A73" s="20"/>
      <c r="B73" s="20"/>
      <c r="C73" s="20"/>
      <c r="D73" s="20" t="s">
        <v>21</v>
      </c>
      <c r="E73" s="12" t="s">
        <v>22</v>
      </c>
      <c r="F73" s="12" t="s">
        <v>22</v>
      </c>
      <c r="G73" s="21">
        <f ca="1">SUM(G14:G72)</f>
        <v>387600</v>
      </c>
      <c r="H73" s="21">
        <f ca="1">SUM(H14:H72)</f>
        <v>102721890</v>
      </c>
      <c r="I73" s="21">
        <f ca="1">SUM(I14:I72)</f>
        <v>387600</v>
      </c>
      <c r="J73" s="21">
        <f ca="1">SUM(J14:J72)</f>
        <v>102721890</v>
      </c>
      <c r="K73" s="21">
        <f ca="1">K13+G73-I73</f>
        <v>0</v>
      </c>
      <c r="L73" s="21">
        <f ca="1">L13+H73-J73</f>
        <v>0</v>
      </c>
      <c r="M73" s="20"/>
      <c r="N73" s="217"/>
    </row>
    <row r="74" spans="1:14">
      <c r="B74" s="22" t="s">
        <v>44</v>
      </c>
      <c r="G74" s="26"/>
      <c r="N74" s="217"/>
    </row>
    <row r="75" spans="1:14">
      <c r="B75" s="105" t="str">
        <f ca="1">IF(ISERROR(" - Ngày mở sổ: ngày "&amp;DAY(C14)&amp;" tháng "&amp;MONTH(C14)&amp;" năm "&amp;YEAR(C14))," - Ngày mở sổ: ngày 01 tháng  01 năm 2015 "," - Ngày mở sổ: ngày "&amp;DAY(C14)&amp;" tháng "&amp;MONTH(C14)&amp;" năm "&amp;YEAR(C14))</f>
        <v xml:space="preserve"> - Ngày mở sổ: ngày 4 tháng 1 năm 2015</v>
      </c>
      <c r="G75" s="26"/>
      <c r="I75" s="26"/>
      <c r="N75" s="217"/>
    </row>
    <row r="76" spans="1:14">
      <c r="B76" s="23"/>
      <c r="C76" s="23"/>
      <c r="D76" s="23"/>
      <c r="F76" s="23"/>
      <c r="G76" s="27"/>
      <c r="H76" s="10"/>
      <c r="I76" s="29"/>
      <c r="J76" s="522" t="s">
        <v>132</v>
      </c>
      <c r="K76" s="522"/>
      <c r="L76" s="522"/>
      <c r="M76" s="522"/>
      <c r="N76" s="217"/>
    </row>
    <row r="77" spans="1:14">
      <c r="B77" s="522" t="s">
        <v>23</v>
      </c>
      <c r="C77" s="522"/>
      <c r="D77" s="522"/>
      <c r="E77" s="522" t="s">
        <v>24</v>
      </c>
      <c r="F77" s="522"/>
      <c r="G77" s="522"/>
      <c r="H77" s="522"/>
      <c r="I77" s="522"/>
      <c r="J77" s="522" t="s">
        <v>25</v>
      </c>
      <c r="K77" s="522"/>
      <c r="L77" s="522"/>
      <c r="M77" s="522"/>
      <c r="N77" s="217"/>
    </row>
    <row r="78" spans="1:14">
      <c r="B78" s="522" t="s">
        <v>26</v>
      </c>
      <c r="C78" s="522" t="s">
        <v>27</v>
      </c>
      <c r="D78" s="522" t="s">
        <v>26</v>
      </c>
      <c r="E78" s="522" t="s">
        <v>26</v>
      </c>
      <c r="F78" s="522"/>
      <c r="G78" s="522"/>
      <c r="H78" s="522" t="s">
        <v>28</v>
      </c>
      <c r="I78" s="522"/>
      <c r="J78" s="522" t="s">
        <v>28</v>
      </c>
      <c r="K78" s="522"/>
      <c r="L78" s="522"/>
      <c r="M78" s="522"/>
      <c r="N78" s="217"/>
    </row>
    <row r="79" spans="1:14">
      <c r="N79" s="218"/>
    </row>
    <row r="80" spans="1:14">
      <c r="E80" s="9"/>
    </row>
    <row r="82" spans="5:5" customFormat="1" ht="12.75">
      <c r="E82" s="61"/>
    </row>
  </sheetData>
  <mergeCells count="21">
    <mergeCell ref="J78:M78"/>
    <mergeCell ref="I10:J10"/>
    <mergeCell ref="B78:D78"/>
    <mergeCell ref="E78:I78"/>
    <mergeCell ref="D10:D11"/>
    <mergeCell ref="B10:C10"/>
    <mergeCell ref="E10:E11"/>
    <mergeCell ref="G10:H10"/>
    <mergeCell ref="J77:M77"/>
    <mergeCell ref="J76:M76"/>
    <mergeCell ref="M10:M11"/>
    <mergeCell ref="B77:D77"/>
    <mergeCell ref="E77:I77"/>
    <mergeCell ref="A10:A11"/>
    <mergeCell ref="J8:L8"/>
    <mergeCell ref="K10:L10"/>
    <mergeCell ref="F10:F11"/>
    <mergeCell ref="J2:M2"/>
    <mergeCell ref="J3:M4"/>
    <mergeCell ref="B5:M5"/>
    <mergeCell ref="B6:M6"/>
  </mergeCells>
  <phoneticPr fontId="30" type="noConversion"/>
  <conditionalFormatting sqref="B14:G71 I14:M71">
    <cfRule type="expression" dxfId="1" priority="1" stopIfTrue="1">
      <formula>$B14&lt;&gt;""</formula>
    </cfRule>
  </conditionalFormatting>
  <dataValidations count="2">
    <dataValidation type="list" allowBlank="1" showInputMessage="1" showErrorMessage="1" sqref="J8:L8">
      <formula1>OFFSET(INDIRECT(ADDRESS(MATCH($O$10,NXT,0)+11,3,,,"NXT")),0,0,COUNTIF(NXT,$O$10),1)</formula1>
    </dataValidation>
    <dataValidation type="list" allowBlank="1" showInputMessage="1" showErrorMessage="1" sqref="O10">
      <formula1>"NL,VL,TP"</formula1>
    </dataValidation>
  </dataValidations>
  <pageMargins left="0.7" right="0.16" top="0.19" bottom="0.15" header="0.16" footer="0.15"/>
  <pageSetup orientation="landscape" r:id="rId1"/>
  <headerFooter alignWithMargins="0">
    <oddFooter>&amp;RTrang 1/1</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60"/>
  </sheetPr>
  <dimension ref="A1:L134"/>
  <sheetViews>
    <sheetView topLeftCell="A4" zoomScale="90" workbookViewId="0">
      <pane ySplit="10" topLeftCell="A113" activePane="bottomLeft" state="frozen"/>
      <selection activeCell="A4" sqref="A4"/>
      <selection pane="bottomLeft" activeCell="E7" sqref="E7"/>
    </sheetView>
  </sheetViews>
  <sheetFormatPr defaultRowHeight="14.25"/>
  <cols>
    <col min="1" max="1" width="4.42578125" style="93" customWidth="1"/>
    <col min="2" max="2" width="9.140625" style="93"/>
    <col min="3" max="3" width="9.140625" style="143" customWidth="1"/>
    <col min="4" max="4" width="10.85546875" style="143" customWidth="1"/>
    <col min="5" max="5" width="39.42578125" style="144" customWidth="1"/>
    <col min="6" max="6" width="10.85546875" style="145" customWidth="1"/>
    <col min="7" max="7" width="9" style="146" customWidth="1"/>
    <col min="8" max="8" width="9.5703125" style="146" customWidth="1"/>
    <col min="9" max="9" width="10" style="146" customWidth="1"/>
    <col min="10" max="10" width="8" style="93" customWidth="1"/>
    <col min="11" max="11" width="2.42578125" style="93" customWidth="1"/>
    <col min="12" max="12" width="6.5703125" style="93" customWidth="1"/>
    <col min="13" max="16384" width="9.140625" style="93"/>
  </cols>
  <sheetData>
    <row r="1" spans="1:12" ht="15" customHeight="1">
      <c r="A1" s="88" t="s">
        <v>75</v>
      </c>
      <c r="B1" s="89"/>
      <c r="C1" s="89"/>
      <c r="D1" s="89"/>
      <c r="E1" s="90"/>
      <c r="F1" s="89"/>
      <c r="G1" s="91"/>
      <c r="H1" s="92" t="s">
        <v>157</v>
      </c>
      <c r="I1" s="93"/>
      <c r="J1" s="94"/>
      <c r="K1" s="94"/>
      <c r="L1" s="222"/>
    </row>
    <row r="2" spans="1:12" ht="15" customHeight="1">
      <c r="A2" s="95" t="s">
        <v>45</v>
      </c>
      <c r="B2" s="96"/>
      <c r="C2" s="96"/>
      <c r="D2" s="96"/>
      <c r="E2" s="97"/>
      <c r="F2" s="98"/>
      <c r="G2" s="99"/>
      <c r="H2" s="100" t="s">
        <v>133</v>
      </c>
      <c r="I2" s="93"/>
      <c r="J2" s="94"/>
      <c r="K2" s="94"/>
    </row>
    <row r="3" spans="1:12" ht="15">
      <c r="A3" s="96"/>
      <c r="B3" s="96"/>
      <c r="C3" s="96"/>
      <c r="D3" s="96"/>
      <c r="E3" s="97"/>
      <c r="F3" s="98"/>
      <c r="G3" s="99"/>
      <c r="H3" s="100" t="s">
        <v>141</v>
      </c>
      <c r="I3" s="93"/>
      <c r="J3" s="94"/>
      <c r="K3" s="94"/>
    </row>
    <row r="4" spans="1:12" ht="18.75" customHeight="1">
      <c r="A4" s="101"/>
      <c r="B4" s="101"/>
      <c r="C4" s="101"/>
      <c r="D4" s="101"/>
      <c r="E4" s="102" t="s">
        <v>76</v>
      </c>
      <c r="F4" s="101"/>
      <c r="G4" s="101"/>
      <c r="H4" s="101"/>
      <c r="I4" s="101"/>
      <c r="J4" s="94"/>
      <c r="K4" s="94"/>
    </row>
    <row r="5" spans="1:12" ht="15">
      <c r="A5" s="103"/>
      <c r="B5" s="103"/>
      <c r="C5" s="103"/>
      <c r="D5" s="103"/>
      <c r="E5" s="104" t="str">
        <f ca="1">IF(ISERROR("Ngày lập thẻ: ngày "&amp;DAY(B14)&amp;"/"&amp;MONTH(B14)&amp;"/"&amp;YEAR(B14)),"Ngày lập thẻ: ngày 01/ 01/2015 ","Ngày lập thẻ: ngày "&amp;DAY(B14)&amp;"/"&amp;MONTH(B14)&amp;"/"&amp;YEAR(B14))</f>
        <v>Ngày lập thẻ: ngày 7/1/2015</v>
      </c>
      <c r="F5" s="103"/>
      <c r="G5" s="103"/>
      <c r="H5" s="103"/>
      <c r="I5" s="103"/>
      <c r="J5" s="94"/>
      <c r="K5" s="94"/>
    </row>
    <row r="6" spans="1:12" ht="15">
      <c r="A6" s="103"/>
      <c r="B6" s="103"/>
      <c r="C6" s="103"/>
      <c r="D6" s="103"/>
      <c r="E6" s="104" t="s">
        <v>77</v>
      </c>
      <c r="F6" s="103"/>
      <c r="G6" s="103"/>
      <c r="H6" s="103"/>
      <c r="I6" s="103"/>
      <c r="J6" s="94"/>
      <c r="K6" s="94"/>
    </row>
    <row r="7" spans="1:12" ht="15">
      <c r="A7" s="105" t="s">
        <v>87</v>
      </c>
      <c r="B7" s="105"/>
      <c r="C7" s="106"/>
      <c r="D7" s="106"/>
      <c r="E7" s="107" t="s">
        <v>100</v>
      </c>
      <c r="F7" s="98"/>
      <c r="G7" s="108"/>
      <c r="H7" s="108"/>
      <c r="I7" s="108"/>
      <c r="J7" s="94"/>
      <c r="K7" s="94"/>
    </row>
    <row r="8" spans="1:12" ht="15">
      <c r="A8" s="105" t="s">
        <v>92</v>
      </c>
      <c r="B8" s="105"/>
      <c r="C8" s="94" t="str">
        <f>VLOOKUP($E$7,NXT!$C$12:$L$90,2,0)</f>
        <v>cái</v>
      </c>
      <c r="D8" s="105"/>
      <c r="E8" s="107"/>
      <c r="F8" s="98"/>
      <c r="G8" s="108"/>
      <c r="H8" s="108"/>
      <c r="I8" s="108"/>
      <c r="J8" s="94"/>
      <c r="K8" s="94"/>
    </row>
    <row r="9" spans="1:12" ht="15">
      <c r="A9" s="526" t="s">
        <v>78</v>
      </c>
      <c r="B9" s="527"/>
      <c r="C9" s="527"/>
      <c r="D9" s="527"/>
      <c r="E9" s="107"/>
      <c r="F9" s="98"/>
      <c r="G9" s="108"/>
      <c r="H9" s="108"/>
      <c r="I9" s="108"/>
      <c r="J9" s="109"/>
      <c r="K9" s="109"/>
    </row>
    <row r="10" spans="1:12" ht="19.5" customHeight="1">
      <c r="A10" s="528" t="s">
        <v>79</v>
      </c>
      <c r="B10" s="533" t="s">
        <v>80</v>
      </c>
      <c r="C10" s="529" t="s">
        <v>9</v>
      </c>
      <c r="D10" s="530"/>
      <c r="E10" s="531" t="s">
        <v>2</v>
      </c>
      <c r="F10" s="540" t="s">
        <v>95</v>
      </c>
      <c r="G10" s="539" t="s">
        <v>11</v>
      </c>
      <c r="H10" s="539"/>
      <c r="I10" s="530"/>
      <c r="J10" s="535" t="s">
        <v>281</v>
      </c>
      <c r="K10" s="210"/>
      <c r="L10" s="223" t="s">
        <v>224</v>
      </c>
    </row>
    <row r="11" spans="1:12" ht="19.5" customHeight="1">
      <c r="A11" s="528"/>
      <c r="B11" s="534"/>
      <c r="C11" s="110" t="s">
        <v>5</v>
      </c>
      <c r="D11" s="110" t="s">
        <v>6</v>
      </c>
      <c r="E11" s="532"/>
      <c r="F11" s="541"/>
      <c r="G11" s="111" t="s">
        <v>5</v>
      </c>
      <c r="H11" s="111" t="s">
        <v>6</v>
      </c>
      <c r="I11" s="111" t="s">
        <v>7</v>
      </c>
      <c r="J11" s="536"/>
      <c r="K11" s="210"/>
    </row>
    <row r="12" spans="1:12" ht="15">
      <c r="A12" s="112" t="s">
        <v>13</v>
      </c>
      <c r="B12" s="113" t="s">
        <v>14</v>
      </c>
      <c r="C12" s="114" t="s">
        <v>15</v>
      </c>
      <c r="D12" s="114" t="s">
        <v>16</v>
      </c>
      <c r="E12" s="115" t="s">
        <v>81</v>
      </c>
      <c r="F12" s="113" t="s">
        <v>82</v>
      </c>
      <c r="G12" s="116">
        <v>1</v>
      </c>
      <c r="H12" s="116">
        <v>2</v>
      </c>
      <c r="I12" s="116">
        <v>3</v>
      </c>
      <c r="J12" s="114" t="s">
        <v>83</v>
      </c>
      <c r="K12" s="211"/>
    </row>
    <row r="13" spans="1:12" ht="16.5" customHeight="1">
      <c r="A13" s="117"/>
      <c r="B13" s="118"/>
      <c r="C13" s="119"/>
      <c r="D13" s="119"/>
      <c r="E13" s="120" t="s">
        <v>35</v>
      </c>
      <c r="F13" s="118"/>
      <c r="G13" s="121"/>
      <c r="H13" s="121"/>
      <c r="I13" s="122">
        <f>VLOOKUP($E$7,NXT!$C$12:$L$90,3,0)</f>
        <v>605</v>
      </c>
      <c r="J13" s="117"/>
      <c r="K13" s="212"/>
    </row>
    <row r="14" spans="1:12" ht="16.5" customHeight="1">
      <c r="A14" s="123">
        <f ca="1">IF(B14&lt;&gt;"",ROW()-(ROW()-1),"")</f>
        <v>1</v>
      </c>
      <c r="B14" s="124">
        <f ca="1">IF(ROWS($1:1)&gt;COUNT(Dong3),"",OFFSET(TH!E$1,SMALL(Dong3,ROWS($1:1)),))</f>
        <v>42011</v>
      </c>
      <c r="C14" s="124" t="str">
        <f ca="1">IF(ROWS($1:1)&gt;COUNT(Dong3),"",IF(LEFT((OFFSET(TH!D$1,SMALL(Dong3,ROWS($1:1)),)),1)&lt;&gt;"N","",(OFFSET(TH!D$1,SMALL(Dong3,ROWS($1:1)),)&amp;"/"&amp;OFFSET(TH!C$1,SMALL(Dong3,ROWS($1:1)),))))</f>
        <v/>
      </c>
      <c r="D14" s="124" t="str">
        <f ca="1">IF(ROWS($1:1)&gt;COUNT(Dong3),"",IF(LEFT((OFFSET(TH!D$1,SMALL(Dong3,ROWS($1:1)),)),1)&lt;&gt;"X","",(OFFSET(TH!D$1,SMALL(Dong3,ROWS($1:1)),)&amp;"/"&amp;OFFSET(TH!C$1,SMALL(Dong3,ROWS($1:1)),))))</f>
        <v>X04/VL</v>
      </c>
      <c r="E14" s="125" t="str">
        <f ca="1">IF(ROWS($1:1)&gt;COUNT(Dong3),"",OFFSET(TH!F$1,SMALL(Dong3,ROWS($1:1)),))</f>
        <v>Thùng carton 54.5x37.5x26</v>
      </c>
      <c r="F14" s="124">
        <f ca="1">B14</f>
        <v>42011</v>
      </c>
      <c r="G14" s="126">
        <f ca="1">IF(ROWS($1:1)&gt;COUNT(Dong3),0,IF(OFFSET(TH!K$1,SMALL(Dong3,ROWS($1:1)),)&lt;&gt;0,OFFSET(TH!K$1,SMALL(Dong3,ROWS($1:1)),),0))</f>
        <v>0</v>
      </c>
      <c r="H14" s="126">
        <f ca="1">IF(ROWS($1:1)&gt;COUNT(Dong3),0,IF(OFFSET(TH!M$1,SMALL(Dong3,ROWS($1:1)),)&lt;&gt;0,OFFSET(TH!M$1,SMALL(Dong3,ROWS($1:1)),),0))</f>
        <v>605</v>
      </c>
      <c r="I14" s="127">
        <f ca="1">IF(E14&lt;&gt;"",I13+G14-H14,0)</f>
        <v>0</v>
      </c>
      <c r="J14" s="128"/>
      <c r="K14" s="213"/>
    </row>
    <row r="15" spans="1:12" ht="16.5" customHeight="1">
      <c r="A15" s="129">
        <f ca="1">IF(B15&lt;&gt;"",A14+1,"")</f>
        <v>2</v>
      </c>
      <c r="B15" s="124">
        <f ca="1">IF(ROWS($1:2)&gt;COUNT(Dong3),"",OFFSET(TH!E$1,SMALL(Dong3,ROWS($1:2)),))</f>
        <v>42154</v>
      </c>
      <c r="C15" s="124" t="str">
        <f ca="1">IF(ROWS($1:2)&gt;COUNT(Dong3),"",IF(LEFT((OFFSET(TH!D$1,SMALL(Dong3,ROWS($1:2)),)),1)&lt;&gt;"N","",(OFFSET(TH!D$1,SMALL(Dong3,ROWS($1:2)),)&amp;"/"&amp;OFFSET(TH!C$1,SMALL(Dong3,ROWS($1:2)),))))</f>
        <v>N03/VL</v>
      </c>
      <c r="D15" s="124" t="str">
        <f ca="1">IF(ROWS($1:2)&gt;COUNT(Dong3),"",IF(LEFT((OFFSET(TH!D$1,SMALL(Dong3,ROWS($1:2)),)),1)&lt;&gt;"X","",(OFFSET(TH!D$1,SMALL(Dong3,ROWS($1:2)),)&amp;"/"&amp;OFFSET(TH!C$1,SMALL(Dong3,ROWS($1:2)),))))</f>
        <v/>
      </c>
      <c r="E15" s="125" t="str">
        <f ca="1">IF(ROWS($1:2)&gt;COUNT(Dong3),"",OFFSET(TH!F$1,SMALL(Dong3,ROWS($1:2)),))</f>
        <v>Thùng carton 54.5x37.5x26</v>
      </c>
      <c r="F15" s="124">
        <f t="shared" ref="F15:F23" ca="1" si="0">B15</f>
        <v>42154</v>
      </c>
      <c r="G15" s="126">
        <f ca="1">IF(ROWS($1:2)&gt;COUNT(Dong3),0,IF(OFFSET(TH!K$1,SMALL(Dong3,ROWS($1:2)),)&lt;&gt;0,OFFSET(TH!K$1,SMALL(Dong3,ROWS($1:2)),),0))</f>
        <v>160</v>
      </c>
      <c r="H15" s="126">
        <f ca="1">IF(ROWS($1:2)&gt;COUNT(Dong3),0,IF(OFFSET(TH!M$1,SMALL(Dong3,ROWS($1:2)),)&lt;&gt;0,OFFSET(TH!M$1,SMALL(Dong3,ROWS($1:2)),),0))</f>
        <v>0</v>
      </c>
      <c r="I15" s="127">
        <f t="shared" ref="I15:I23" ca="1" si="1">IF(E15&lt;&gt;"",I14+G15-H15,0)</f>
        <v>160</v>
      </c>
      <c r="J15" s="128"/>
      <c r="K15" s="213"/>
    </row>
    <row r="16" spans="1:12" ht="16.5" customHeight="1">
      <c r="A16" s="129">
        <f t="shared" ref="A16:A23" ca="1" si="2">IF(B16&lt;&gt;"",A15+1,"")</f>
        <v>3</v>
      </c>
      <c r="B16" s="124">
        <f ca="1">IF(ROWS($1:3)&gt;COUNT(Dong3),"",OFFSET(TH!E$1,SMALL(Dong3,ROWS($1:3)),))</f>
        <v>42172</v>
      </c>
      <c r="C16" s="124" t="str">
        <f ca="1">IF(ROWS($1:3)&gt;COUNT(Dong3),"",IF(LEFT((OFFSET(TH!D$1,SMALL(Dong3,ROWS($1:3)),)),1)&lt;&gt;"N","",(OFFSET(TH!D$1,SMALL(Dong3,ROWS($1:3)),)&amp;"/"&amp;OFFSET(TH!C$1,SMALL(Dong3,ROWS($1:3)),))))</f>
        <v/>
      </c>
      <c r="D16" s="124" t="str">
        <f ca="1">IF(ROWS($1:3)&gt;COUNT(Dong3),"",IF(LEFT((OFFSET(TH!D$1,SMALL(Dong3,ROWS($1:3)),)),1)&lt;&gt;"X","",(OFFSET(TH!D$1,SMALL(Dong3,ROWS($1:3)),)&amp;"/"&amp;OFFSET(TH!C$1,SMALL(Dong3,ROWS($1:3)),))))</f>
        <v>X05/VL</v>
      </c>
      <c r="E16" s="125" t="str">
        <f ca="1">IF(ROWS($1:3)&gt;COUNT(Dong3),"",OFFSET(TH!F$1,SMALL(Dong3,ROWS($1:3)),))</f>
        <v>Thùng carton 54.5x37.5x26</v>
      </c>
      <c r="F16" s="124">
        <f t="shared" ca="1" si="0"/>
        <v>42172</v>
      </c>
      <c r="G16" s="126">
        <f ca="1">IF(ROWS($1:3)&gt;COUNT(Dong3),0,IF(OFFSET(TH!K$1,SMALL(Dong3,ROWS($1:3)),)&lt;&gt;0,OFFSET(TH!K$1,SMALL(Dong3,ROWS($1:3)),),0))</f>
        <v>0</v>
      </c>
      <c r="H16" s="126">
        <f ca="1">IF(ROWS($1:3)&gt;COUNT(Dong3),0,IF(OFFSET(TH!M$1,SMALL(Dong3,ROWS($1:3)),)&lt;&gt;0,OFFSET(TH!M$1,SMALL(Dong3,ROWS($1:3)),),0))</f>
        <v>160</v>
      </c>
      <c r="I16" s="127">
        <f t="shared" ca="1" si="1"/>
        <v>0</v>
      </c>
      <c r="J16" s="128"/>
      <c r="K16" s="213"/>
    </row>
    <row r="17" spans="1:11" ht="16.5" customHeight="1">
      <c r="A17" s="129">
        <f t="shared" ca="1" si="2"/>
        <v>4</v>
      </c>
      <c r="B17" s="124">
        <f ca="1">IF(ROWS($1:4)&gt;COUNT(Dong3),"",OFFSET(TH!E$1,SMALL(Dong3,ROWS($1:4)),))</f>
        <v>42332</v>
      </c>
      <c r="C17" s="124" t="str">
        <f ca="1">IF(ROWS($1:4)&gt;COUNT(Dong3),"",IF(LEFT((OFFSET(TH!D$1,SMALL(Dong3,ROWS($1:4)),)),1)&lt;&gt;"N","",(OFFSET(TH!D$1,SMALL(Dong3,ROWS($1:4)),)&amp;"/"&amp;OFFSET(TH!C$1,SMALL(Dong3,ROWS($1:4)),))))</f>
        <v>N02/VL</v>
      </c>
      <c r="D17" s="124" t="str">
        <f ca="1">IF(ROWS($1:4)&gt;COUNT(Dong3),"",IF(LEFT((OFFSET(TH!D$1,SMALL(Dong3,ROWS($1:4)),)),1)&lt;&gt;"X","",(OFFSET(TH!D$1,SMALL(Dong3,ROWS($1:4)),)&amp;"/"&amp;OFFSET(TH!C$1,SMALL(Dong3,ROWS($1:4)),))))</f>
        <v/>
      </c>
      <c r="E17" s="125" t="str">
        <f ca="1">IF(ROWS($1:4)&gt;COUNT(Dong3),"",OFFSET(TH!F$1,SMALL(Dong3,ROWS($1:4)),))</f>
        <v>Thùng carton 54.5x37.5x26</v>
      </c>
      <c r="F17" s="124">
        <f t="shared" ca="1" si="0"/>
        <v>42332</v>
      </c>
      <c r="G17" s="126">
        <f ca="1">IF(ROWS($1:4)&gt;COUNT(Dong3),0,IF(OFFSET(TH!K$1,SMALL(Dong3,ROWS($1:4)),)&lt;&gt;0,OFFSET(TH!K$1,SMALL(Dong3,ROWS($1:4)),),0))</f>
        <v>133</v>
      </c>
      <c r="H17" s="126">
        <f ca="1">IF(ROWS($1:4)&gt;COUNT(Dong3),0,IF(OFFSET(TH!M$1,SMALL(Dong3,ROWS($1:4)),)&lt;&gt;0,OFFSET(TH!M$1,SMALL(Dong3,ROWS($1:4)),),0))</f>
        <v>0</v>
      </c>
      <c r="I17" s="127">
        <f t="shared" ca="1" si="1"/>
        <v>133</v>
      </c>
      <c r="J17" s="128"/>
      <c r="K17" s="213"/>
    </row>
    <row r="18" spans="1:11" ht="16.5" customHeight="1">
      <c r="A18" s="129">
        <f t="shared" ca="1" si="2"/>
        <v>5</v>
      </c>
      <c r="B18" s="124">
        <f ca="1">IF(ROWS($1:5)&gt;COUNT(Dong3),"",OFFSET(TH!E$1,SMALL(Dong3,ROWS($1:5)),))</f>
        <v>42335</v>
      </c>
      <c r="C18" s="124" t="str">
        <f ca="1">IF(ROWS($1:5)&gt;COUNT(Dong3),"",IF(LEFT((OFFSET(TH!D$1,SMALL(Dong3,ROWS($1:5)),)),1)&lt;&gt;"N","",(OFFSET(TH!D$1,SMALL(Dong3,ROWS($1:5)),)&amp;"/"&amp;OFFSET(TH!C$1,SMALL(Dong3,ROWS($1:5)),))))</f>
        <v/>
      </c>
      <c r="D18" s="124" t="str">
        <f ca="1">IF(ROWS($1:5)&gt;COUNT(Dong3),"",IF(LEFT((OFFSET(TH!D$1,SMALL(Dong3,ROWS($1:5)),)),1)&lt;&gt;"X","",(OFFSET(TH!D$1,SMALL(Dong3,ROWS($1:5)),)&amp;"/"&amp;OFFSET(TH!C$1,SMALL(Dong3,ROWS($1:5)),))))</f>
        <v>X06/VL</v>
      </c>
      <c r="E18" s="125" t="str">
        <f ca="1">IF(ROWS($1:5)&gt;COUNT(Dong3),"",OFFSET(TH!F$1,SMALL(Dong3,ROWS($1:5)),))</f>
        <v>Thùng carton 54.5x37.5x26</v>
      </c>
      <c r="F18" s="124">
        <f t="shared" ca="1" si="0"/>
        <v>42335</v>
      </c>
      <c r="G18" s="126">
        <f ca="1">IF(ROWS($1:5)&gt;COUNT(Dong3),0,IF(OFFSET(TH!K$1,SMALL(Dong3,ROWS($1:5)),)&lt;&gt;0,OFFSET(TH!K$1,SMALL(Dong3,ROWS($1:5)),),0))</f>
        <v>0</v>
      </c>
      <c r="H18" s="126">
        <f ca="1">IF(ROWS($1:5)&gt;COUNT(Dong3),0,IF(OFFSET(TH!M$1,SMALL(Dong3,ROWS($1:5)),)&lt;&gt;0,OFFSET(TH!M$1,SMALL(Dong3,ROWS($1:5)),),0))</f>
        <v>133</v>
      </c>
      <c r="I18" s="127">
        <f t="shared" ca="1" si="1"/>
        <v>0</v>
      </c>
      <c r="J18" s="128"/>
      <c r="K18" s="213"/>
    </row>
    <row r="19" spans="1:11" ht="16.5" customHeight="1">
      <c r="A19" s="129" t="str">
        <f t="shared" ca="1" si="2"/>
        <v/>
      </c>
      <c r="B19" s="124" t="str">
        <f ca="1">IF(ROWS($1:6)&gt;COUNT(Dong3),"",OFFSET(TH!E$1,SMALL(Dong3,ROWS($1:6)),))</f>
        <v/>
      </c>
      <c r="C19" s="124" t="str">
        <f ca="1">IF(ROWS($1:6)&gt;COUNT(Dong3),"",IF(LEFT((OFFSET(TH!D$1,SMALL(Dong3,ROWS($1:6)),)),1)&lt;&gt;"N","",(OFFSET(TH!D$1,SMALL(Dong3,ROWS($1:6)),)&amp;"/"&amp;OFFSET(TH!C$1,SMALL(Dong3,ROWS($1:6)),))))</f>
        <v/>
      </c>
      <c r="D19" s="124" t="str">
        <f ca="1">IF(ROWS($1:6)&gt;COUNT(Dong3),"",IF(LEFT((OFFSET(TH!D$1,SMALL(Dong3,ROWS($1:6)),)),1)&lt;&gt;"X","",(OFFSET(TH!D$1,SMALL(Dong3,ROWS($1:6)),)&amp;"/"&amp;OFFSET(TH!C$1,SMALL(Dong3,ROWS($1:6)),))))</f>
        <v/>
      </c>
      <c r="E19" s="125" t="str">
        <f ca="1">IF(ROWS($1:6)&gt;COUNT(Dong3),"",OFFSET(TH!F$1,SMALL(Dong3,ROWS($1:6)),))</f>
        <v/>
      </c>
      <c r="F19" s="124" t="str">
        <f t="shared" ca="1" si="0"/>
        <v/>
      </c>
      <c r="G19" s="126">
        <f ca="1">IF(ROWS($1:6)&gt;COUNT(Dong3),0,IF(OFFSET(TH!K$1,SMALL(Dong3,ROWS($1:6)),)&lt;&gt;0,OFFSET(TH!K$1,SMALL(Dong3,ROWS($1:6)),),0))</f>
        <v>0</v>
      </c>
      <c r="H19" s="126">
        <f ca="1">IF(ROWS($1:6)&gt;COUNT(Dong3),0,IF(OFFSET(TH!M$1,SMALL(Dong3,ROWS($1:6)),)&lt;&gt;0,OFFSET(TH!M$1,SMALL(Dong3,ROWS($1:6)),),0))</f>
        <v>0</v>
      </c>
      <c r="I19" s="127">
        <f t="shared" ca="1" si="1"/>
        <v>0</v>
      </c>
      <c r="J19" s="128"/>
      <c r="K19" s="213"/>
    </row>
    <row r="20" spans="1:11" ht="16.5" customHeight="1">
      <c r="A20" s="129" t="str">
        <f t="shared" ca="1" si="2"/>
        <v/>
      </c>
      <c r="B20" s="124" t="str">
        <f ca="1">IF(ROWS($1:7)&gt;COUNT(Dong3),"",OFFSET(TH!E$1,SMALL(Dong3,ROWS($1:7)),))</f>
        <v/>
      </c>
      <c r="C20" s="124" t="str">
        <f ca="1">IF(ROWS($1:7)&gt;COUNT(Dong3),"",IF(LEFT((OFFSET(TH!D$1,SMALL(Dong3,ROWS($1:7)),)),1)&lt;&gt;"N","",(OFFSET(TH!D$1,SMALL(Dong3,ROWS($1:7)),)&amp;"/"&amp;OFFSET(TH!C$1,SMALL(Dong3,ROWS($1:7)),))))</f>
        <v/>
      </c>
      <c r="D20" s="124" t="str">
        <f ca="1">IF(ROWS($1:7)&gt;COUNT(Dong3),"",IF(LEFT((OFFSET(TH!D$1,SMALL(Dong3,ROWS($1:7)),)),1)&lt;&gt;"X","",(OFFSET(TH!D$1,SMALL(Dong3,ROWS($1:7)),)&amp;"/"&amp;OFFSET(TH!C$1,SMALL(Dong3,ROWS($1:7)),))))</f>
        <v/>
      </c>
      <c r="E20" s="125" t="str">
        <f ca="1">IF(ROWS($1:7)&gt;COUNT(Dong3),"",OFFSET(TH!F$1,SMALL(Dong3,ROWS($1:7)),))</f>
        <v/>
      </c>
      <c r="F20" s="124" t="str">
        <f t="shared" ca="1" si="0"/>
        <v/>
      </c>
      <c r="G20" s="126">
        <f ca="1">IF(ROWS($1:7)&gt;COUNT(Dong3),0,IF(OFFSET(TH!K$1,SMALL(Dong3,ROWS($1:7)),)&lt;&gt;0,OFFSET(TH!K$1,SMALL(Dong3,ROWS($1:7)),),0))</f>
        <v>0</v>
      </c>
      <c r="H20" s="126">
        <f ca="1">IF(ROWS($1:7)&gt;COUNT(Dong3),0,IF(OFFSET(TH!M$1,SMALL(Dong3,ROWS($1:7)),)&lt;&gt;0,OFFSET(TH!M$1,SMALL(Dong3,ROWS($1:7)),),0))</f>
        <v>0</v>
      </c>
      <c r="I20" s="127">
        <f t="shared" ca="1" si="1"/>
        <v>0</v>
      </c>
      <c r="J20" s="128"/>
      <c r="K20" s="213"/>
    </row>
    <row r="21" spans="1:11" ht="16.5" customHeight="1">
      <c r="A21" s="129" t="str">
        <f t="shared" ca="1" si="2"/>
        <v/>
      </c>
      <c r="B21" s="124" t="str">
        <f ca="1">IF(ROWS($1:8)&gt;COUNT(Dong3),"",OFFSET(TH!E$1,SMALL(Dong3,ROWS($1:8)),))</f>
        <v/>
      </c>
      <c r="C21" s="124" t="str">
        <f ca="1">IF(ROWS($1:8)&gt;COUNT(Dong3),"",IF(LEFT((OFFSET(TH!D$1,SMALL(Dong3,ROWS($1:8)),)),1)&lt;&gt;"N","",(OFFSET(TH!D$1,SMALL(Dong3,ROWS($1:8)),)&amp;"/"&amp;OFFSET(TH!C$1,SMALL(Dong3,ROWS($1:8)),))))</f>
        <v/>
      </c>
      <c r="D21" s="124" t="str">
        <f ca="1">IF(ROWS($1:8)&gt;COUNT(Dong3),"",IF(LEFT((OFFSET(TH!D$1,SMALL(Dong3,ROWS($1:8)),)),1)&lt;&gt;"X","",(OFFSET(TH!D$1,SMALL(Dong3,ROWS($1:8)),)&amp;"/"&amp;OFFSET(TH!C$1,SMALL(Dong3,ROWS($1:8)),))))</f>
        <v/>
      </c>
      <c r="E21" s="125" t="str">
        <f ca="1">IF(ROWS($1:8)&gt;COUNT(Dong3),"",OFFSET(TH!F$1,SMALL(Dong3,ROWS($1:8)),))</f>
        <v/>
      </c>
      <c r="F21" s="124" t="str">
        <f t="shared" ca="1" si="0"/>
        <v/>
      </c>
      <c r="G21" s="126">
        <f ca="1">IF(ROWS($1:8)&gt;COUNT(Dong3),0,IF(OFFSET(TH!K$1,SMALL(Dong3,ROWS($1:8)),)&lt;&gt;0,OFFSET(TH!K$1,SMALL(Dong3,ROWS($1:8)),),0))</f>
        <v>0</v>
      </c>
      <c r="H21" s="126">
        <f ca="1">IF(ROWS($1:8)&gt;COUNT(Dong3),0,IF(OFFSET(TH!M$1,SMALL(Dong3,ROWS($1:8)),)&lt;&gt;0,OFFSET(TH!M$1,SMALL(Dong3,ROWS($1:8)),),0))</f>
        <v>0</v>
      </c>
      <c r="I21" s="127">
        <f t="shared" ca="1" si="1"/>
        <v>0</v>
      </c>
      <c r="J21" s="128"/>
      <c r="K21" s="213"/>
    </row>
    <row r="22" spans="1:11" ht="16.5" customHeight="1">
      <c r="A22" s="129" t="str">
        <f t="shared" ca="1" si="2"/>
        <v/>
      </c>
      <c r="B22" s="124" t="str">
        <f ca="1">IF(ROWS($1:9)&gt;COUNT(Dong3),"",OFFSET(TH!E$1,SMALL(Dong3,ROWS($1:9)),))</f>
        <v/>
      </c>
      <c r="C22" s="124" t="str">
        <f ca="1">IF(ROWS($1:9)&gt;COUNT(Dong3),"",IF(LEFT((OFFSET(TH!D$1,SMALL(Dong3,ROWS($1:9)),)),1)&lt;&gt;"N","",(OFFSET(TH!D$1,SMALL(Dong3,ROWS($1:9)),)&amp;"/"&amp;OFFSET(TH!C$1,SMALL(Dong3,ROWS($1:9)),))))</f>
        <v/>
      </c>
      <c r="D22" s="124" t="str">
        <f ca="1">IF(ROWS($1:9)&gt;COUNT(Dong3),"",IF(LEFT((OFFSET(TH!D$1,SMALL(Dong3,ROWS($1:9)),)),1)&lt;&gt;"X","",(OFFSET(TH!D$1,SMALL(Dong3,ROWS($1:9)),)&amp;"/"&amp;OFFSET(TH!C$1,SMALL(Dong3,ROWS($1:9)),))))</f>
        <v/>
      </c>
      <c r="E22" s="125" t="str">
        <f ca="1">IF(ROWS($1:9)&gt;COUNT(Dong3),"",OFFSET(TH!F$1,SMALL(Dong3,ROWS($1:9)),))</f>
        <v/>
      </c>
      <c r="F22" s="124" t="str">
        <f t="shared" ca="1" si="0"/>
        <v/>
      </c>
      <c r="G22" s="126">
        <f ca="1">IF(ROWS($1:9)&gt;COUNT(Dong3),0,IF(OFFSET(TH!K$1,SMALL(Dong3,ROWS($1:9)),)&lt;&gt;0,OFFSET(TH!K$1,SMALL(Dong3,ROWS($1:9)),),0))</f>
        <v>0</v>
      </c>
      <c r="H22" s="126">
        <f ca="1">IF(ROWS($1:9)&gt;COUNT(Dong3),0,IF(OFFSET(TH!M$1,SMALL(Dong3,ROWS($1:9)),)&lt;&gt;0,OFFSET(TH!M$1,SMALL(Dong3,ROWS($1:9)),),0))</f>
        <v>0</v>
      </c>
      <c r="I22" s="127">
        <f t="shared" ca="1" si="1"/>
        <v>0</v>
      </c>
      <c r="J22" s="128"/>
      <c r="K22" s="213"/>
    </row>
    <row r="23" spans="1:11" ht="16.5" customHeight="1">
      <c r="A23" s="129" t="str">
        <f t="shared" ca="1" si="2"/>
        <v/>
      </c>
      <c r="B23" s="124" t="str">
        <f ca="1">IF(ROWS($1:10)&gt;COUNT(Dong3),"",OFFSET(TH!E$1,SMALL(Dong3,ROWS($1:10)),))</f>
        <v/>
      </c>
      <c r="C23" s="124" t="str">
        <f ca="1">IF(ROWS($1:10)&gt;COUNT(Dong3),"",IF(LEFT((OFFSET(TH!D$1,SMALL(Dong3,ROWS($1:10)),)),1)&lt;&gt;"N","",(OFFSET(TH!D$1,SMALL(Dong3,ROWS($1:10)),)&amp;"/"&amp;OFFSET(TH!C$1,SMALL(Dong3,ROWS($1:10)),))))</f>
        <v/>
      </c>
      <c r="D23" s="124" t="str">
        <f ca="1">IF(ROWS($1:10)&gt;COUNT(Dong3),"",IF(LEFT((OFFSET(TH!D$1,SMALL(Dong3,ROWS($1:10)),)),1)&lt;&gt;"X","",(OFFSET(TH!D$1,SMALL(Dong3,ROWS($1:10)),)&amp;"/"&amp;OFFSET(TH!C$1,SMALL(Dong3,ROWS($1:10)),))))</f>
        <v/>
      </c>
      <c r="E23" s="125" t="str">
        <f ca="1">IF(ROWS($1:10)&gt;COUNT(Dong3),"",OFFSET(TH!F$1,SMALL(Dong3,ROWS($1:10)),))</f>
        <v/>
      </c>
      <c r="F23" s="124" t="str">
        <f t="shared" ca="1" si="0"/>
        <v/>
      </c>
      <c r="G23" s="126">
        <f ca="1">IF(ROWS($1:10)&gt;COUNT(Dong3),0,IF(OFFSET(TH!K$1,SMALL(Dong3,ROWS($1:10)),)&lt;&gt;0,OFFSET(TH!K$1,SMALL(Dong3,ROWS($1:10)),),0))</f>
        <v>0</v>
      </c>
      <c r="H23" s="126">
        <f ca="1">IF(ROWS($1:10)&gt;COUNT(Dong3),0,IF(OFFSET(TH!M$1,SMALL(Dong3,ROWS($1:10)),)&lt;&gt;0,OFFSET(TH!M$1,SMALL(Dong3,ROWS($1:10)),),0))</f>
        <v>0</v>
      </c>
      <c r="I23" s="127">
        <f t="shared" ca="1" si="1"/>
        <v>0</v>
      </c>
      <c r="J23" s="128"/>
      <c r="K23" s="213"/>
    </row>
    <row r="24" spans="1:11" ht="16.5" customHeight="1">
      <c r="A24" s="129" t="str">
        <f t="shared" ref="A24:A59" ca="1" si="3">IF(B24&lt;&gt;"",A23+1,"")</f>
        <v/>
      </c>
      <c r="B24" s="124" t="str">
        <f ca="1">IF(ROWS($1:11)&gt;COUNT(Dong3),"",OFFSET(TH!E$1,SMALL(Dong3,ROWS($1:11)),))</f>
        <v/>
      </c>
      <c r="C24" s="124" t="str">
        <f ca="1">IF(ROWS($1:11)&gt;COUNT(Dong3),"",IF(LEFT((OFFSET(TH!D$1,SMALL(Dong3,ROWS($1:11)),)),1)&lt;&gt;"N","",(OFFSET(TH!D$1,SMALL(Dong3,ROWS($1:11)),)&amp;"/"&amp;OFFSET(TH!C$1,SMALL(Dong3,ROWS($1:11)),))))</f>
        <v/>
      </c>
      <c r="D24" s="124" t="str">
        <f ca="1">IF(ROWS($1:11)&gt;COUNT(Dong3),"",IF(LEFT((OFFSET(TH!D$1,SMALL(Dong3,ROWS($1:11)),)),1)&lt;&gt;"X","",(OFFSET(TH!D$1,SMALL(Dong3,ROWS($1:11)),)&amp;"/"&amp;OFFSET(TH!C$1,SMALL(Dong3,ROWS($1:11)),))))</f>
        <v/>
      </c>
      <c r="E24" s="125" t="str">
        <f ca="1">IF(ROWS($1:11)&gt;COUNT(Dong3),"",OFFSET(TH!F$1,SMALL(Dong3,ROWS($1:11)),))</f>
        <v/>
      </c>
      <c r="F24" s="124" t="str">
        <f t="shared" ref="F24:F59" ca="1" si="4">B24</f>
        <v/>
      </c>
      <c r="G24" s="126">
        <f ca="1">IF(ROWS($1:11)&gt;COUNT(Dong3),0,IF(OFFSET(TH!K$1,SMALL(Dong3,ROWS($1:11)),)&lt;&gt;0,OFFSET(TH!K$1,SMALL(Dong3,ROWS($1:11)),),0))</f>
        <v>0</v>
      </c>
      <c r="H24" s="126">
        <f ca="1">IF(ROWS($1:11)&gt;COUNT(Dong3),0,IF(OFFSET(TH!M$1,SMALL(Dong3,ROWS($1:11)),)&lt;&gt;0,OFFSET(TH!M$1,SMALL(Dong3,ROWS($1:11)),),0))</f>
        <v>0</v>
      </c>
      <c r="I24" s="127">
        <f t="shared" ref="I24:I59" ca="1" si="5">IF(E24&lt;&gt;"",I23+G24-H24,0)</f>
        <v>0</v>
      </c>
      <c r="J24" s="128"/>
      <c r="K24" s="213"/>
    </row>
    <row r="25" spans="1:11" ht="16.5" customHeight="1">
      <c r="A25" s="129" t="str">
        <f t="shared" ca="1" si="3"/>
        <v/>
      </c>
      <c r="B25" s="124" t="str">
        <f ca="1">IF(ROWS($1:12)&gt;COUNT(Dong3),"",OFFSET(TH!E$1,SMALL(Dong3,ROWS($1:12)),))</f>
        <v/>
      </c>
      <c r="C25" s="124" t="str">
        <f ca="1">IF(ROWS($1:12)&gt;COUNT(Dong3),"",IF(LEFT((OFFSET(TH!D$1,SMALL(Dong3,ROWS($1:12)),)),1)&lt;&gt;"N","",(OFFSET(TH!D$1,SMALL(Dong3,ROWS($1:12)),)&amp;"/"&amp;OFFSET(TH!C$1,SMALL(Dong3,ROWS($1:12)),))))</f>
        <v/>
      </c>
      <c r="D25" s="124" t="str">
        <f ca="1">IF(ROWS($1:12)&gt;COUNT(Dong3),"",IF(LEFT((OFFSET(TH!D$1,SMALL(Dong3,ROWS($1:12)),)),1)&lt;&gt;"X","",(OFFSET(TH!D$1,SMALL(Dong3,ROWS($1:12)),)&amp;"/"&amp;OFFSET(TH!C$1,SMALL(Dong3,ROWS($1:12)),))))</f>
        <v/>
      </c>
      <c r="E25" s="125" t="str">
        <f ca="1">IF(ROWS($1:12)&gt;COUNT(Dong3),"",OFFSET(TH!F$1,SMALL(Dong3,ROWS($1:12)),))</f>
        <v/>
      </c>
      <c r="F25" s="124" t="str">
        <f t="shared" ca="1" si="4"/>
        <v/>
      </c>
      <c r="G25" s="126">
        <f ca="1">IF(ROWS($1:12)&gt;COUNT(Dong3),0,IF(OFFSET(TH!K$1,SMALL(Dong3,ROWS($1:12)),)&lt;&gt;0,OFFSET(TH!K$1,SMALL(Dong3,ROWS($1:12)),),0))</f>
        <v>0</v>
      </c>
      <c r="H25" s="126">
        <f ca="1">IF(ROWS($1:12)&gt;COUNT(Dong3),0,IF(OFFSET(TH!M$1,SMALL(Dong3,ROWS($1:12)),)&lt;&gt;0,OFFSET(TH!M$1,SMALL(Dong3,ROWS($1:12)),),0))</f>
        <v>0</v>
      </c>
      <c r="I25" s="127">
        <f t="shared" ca="1" si="5"/>
        <v>0</v>
      </c>
      <c r="J25" s="128"/>
      <c r="K25" s="213"/>
    </row>
    <row r="26" spans="1:11" ht="16.5" customHeight="1">
      <c r="A26" s="129" t="str">
        <f t="shared" ca="1" si="3"/>
        <v/>
      </c>
      <c r="B26" s="124" t="str">
        <f ca="1">IF(ROWS($1:13)&gt;COUNT(Dong3),"",OFFSET(TH!E$1,SMALL(Dong3,ROWS($1:13)),))</f>
        <v/>
      </c>
      <c r="C26" s="124" t="str">
        <f ca="1">IF(ROWS($1:13)&gt;COUNT(Dong3),"",IF(LEFT((OFFSET(TH!D$1,SMALL(Dong3,ROWS($1:13)),)),1)&lt;&gt;"N","",(OFFSET(TH!D$1,SMALL(Dong3,ROWS($1:13)),)&amp;"/"&amp;OFFSET(TH!C$1,SMALL(Dong3,ROWS($1:13)),))))</f>
        <v/>
      </c>
      <c r="D26" s="124" t="str">
        <f ca="1">IF(ROWS($1:13)&gt;COUNT(Dong3),"",IF(LEFT((OFFSET(TH!D$1,SMALL(Dong3,ROWS($1:13)),)),1)&lt;&gt;"X","",(OFFSET(TH!D$1,SMALL(Dong3,ROWS($1:13)),)&amp;"/"&amp;OFFSET(TH!C$1,SMALL(Dong3,ROWS($1:13)),))))</f>
        <v/>
      </c>
      <c r="E26" s="125" t="str">
        <f ca="1">IF(ROWS($1:13)&gt;COUNT(Dong3),"",OFFSET(TH!F$1,SMALL(Dong3,ROWS($1:13)),))</f>
        <v/>
      </c>
      <c r="F26" s="124" t="str">
        <f t="shared" ca="1" si="4"/>
        <v/>
      </c>
      <c r="G26" s="126">
        <f ca="1">IF(ROWS($1:13)&gt;COUNT(Dong3),0,IF(OFFSET(TH!K$1,SMALL(Dong3,ROWS($1:13)),)&lt;&gt;0,OFFSET(TH!K$1,SMALL(Dong3,ROWS($1:13)),),0))</f>
        <v>0</v>
      </c>
      <c r="H26" s="126">
        <f ca="1">IF(ROWS($1:13)&gt;COUNT(Dong3),0,IF(OFFSET(TH!M$1,SMALL(Dong3,ROWS($1:13)),)&lt;&gt;0,OFFSET(TH!M$1,SMALL(Dong3,ROWS($1:13)),),0))</f>
        <v>0</v>
      </c>
      <c r="I26" s="127">
        <f t="shared" ca="1" si="5"/>
        <v>0</v>
      </c>
      <c r="J26" s="128"/>
      <c r="K26" s="213"/>
    </row>
    <row r="27" spans="1:11" ht="16.5" customHeight="1">
      <c r="A27" s="129" t="str">
        <f t="shared" ca="1" si="3"/>
        <v/>
      </c>
      <c r="B27" s="124" t="str">
        <f ca="1">IF(ROWS($1:14)&gt;COUNT(Dong3),"",OFFSET(TH!E$1,SMALL(Dong3,ROWS($1:14)),))</f>
        <v/>
      </c>
      <c r="C27" s="124" t="str">
        <f ca="1">IF(ROWS($1:14)&gt;COUNT(Dong3),"",IF(LEFT((OFFSET(TH!D$1,SMALL(Dong3,ROWS($1:14)),)),1)&lt;&gt;"N","",(OFFSET(TH!D$1,SMALL(Dong3,ROWS($1:14)),)&amp;"/"&amp;OFFSET(TH!C$1,SMALL(Dong3,ROWS($1:14)),))))</f>
        <v/>
      </c>
      <c r="D27" s="124" t="str">
        <f ca="1">IF(ROWS($1:14)&gt;COUNT(Dong3),"",IF(LEFT((OFFSET(TH!D$1,SMALL(Dong3,ROWS($1:14)),)),1)&lt;&gt;"X","",(OFFSET(TH!D$1,SMALL(Dong3,ROWS($1:14)),)&amp;"/"&amp;OFFSET(TH!C$1,SMALL(Dong3,ROWS($1:14)),))))</f>
        <v/>
      </c>
      <c r="E27" s="125" t="str">
        <f ca="1">IF(ROWS($1:14)&gt;COUNT(Dong3),"",OFFSET(TH!F$1,SMALL(Dong3,ROWS($1:14)),))</f>
        <v/>
      </c>
      <c r="F27" s="124" t="str">
        <f t="shared" ca="1" si="4"/>
        <v/>
      </c>
      <c r="G27" s="126">
        <f ca="1">IF(ROWS($1:14)&gt;COUNT(Dong3),0,IF(OFFSET(TH!K$1,SMALL(Dong3,ROWS($1:14)),)&lt;&gt;0,OFFSET(TH!K$1,SMALL(Dong3,ROWS($1:14)),),0))</f>
        <v>0</v>
      </c>
      <c r="H27" s="126">
        <f ca="1">IF(ROWS($1:14)&gt;COUNT(Dong3),0,IF(OFFSET(TH!M$1,SMALL(Dong3,ROWS($1:14)),)&lt;&gt;0,OFFSET(TH!M$1,SMALL(Dong3,ROWS($1:14)),),0))</f>
        <v>0</v>
      </c>
      <c r="I27" s="127">
        <f t="shared" ca="1" si="5"/>
        <v>0</v>
      </c>
      <c r="J27" s="128"/>
      <c r="K27" s="213"/>
    </row>
    <row r="28" spans="1:11" ht="16.5" customHeight="1">
      <c r="A28" s="129" t="str">
        <f t="shared" ca="1" si="3"/>
        <v/>
      </c>
      <c r="B28" s="124" t="str">
        <f ca="1">IF(ROWS($1:15)&gt;COUNT(Dong3),"",OFFSET(TH!E$1,SMALL(Dong3,ROWS($1:15)),))</f>
        <v/>
      </c>
      <c r="C28" s="124" t="str">
        <f ca="1">IF(ROWS($1:15)&gt;COUNT(Dong3),"",IF(LEFT((OFFSET(TH!D$1,SMALL(Dong3,ROWS($1:15)),)),1)&lt;&gt;"N","",(OFFSET(TH!D$1,SMALL(Dong3,ROWS($1:15)),)&amp;"/"&amp;OFFSET(TH!C$1,SMALL(Dong3,ROWS($1:15)),))))</f>
        <v/>
      </c>
      <c r="D28" s="124" t="str">
        <f ca="1">IF(ROWS($1:15)&gt;COUNT(Dong3),"",IF(LEFT((OFFSET(TH!D$1,SMALL(Dong3,ROWS($1:15)),)),1)&lt;&gt;"X","",(OFFSET(TH!D$1,SMALL(Dong3,ROWS($1:15)),)&amp;"/"&amp;OFFSET(TH!C$1,SMALL(Dong3,ROWS($1:15)),))))</f>
        <v/>
      </c>
      <c r="E28" s="125" t="str">
        <f ca="1">IF(ROWS($1:15)&gt;COUNT(Dong3),"",OFFSET(TH!F$1,SMALL(Dong3,ROWS($1:15)),))</f>
        <v/>
      </c>
      <c r="F28" s="124" t="str">
        <f t="shared" ca="1" si="4"/>
        <v/>
      </c>
      <c r="G28" s="126">
        <f ca="1">IF(ROWS($1:15)&gt;COUNT(Dong3),0,IF(OFFSET(TH!K$1,SMALL(Dong3,ROWS($1:15)),)&lt;&gt;0,OFFSET(TH!K$1,SMALL(Dong3,ROWS($1:15)),),0))</f>
        <v>0</v>
      </c>
      <c r="H28" s="126">
        <f ca="1">IF(ROWS($1:15)&gt;COUNT(Dong3),0,IF(OFFSET(TH!M$1,SMALL(Dong3,ROWS($1:15)),)&lt;&gt;0,OFFSET(TH!M$1,SMALL(Dong3,ROWS($1:15)),),0))</f>
        <v>0</v>
      </c>
      <c r="I28" s="127">
        <f t="shared" ca="1" si="5"/>
        <v>0</v>
      </c>
      <c r="J28" s="128"/>
      <c r="K28" s="213"/>
    </row>
    <row r="29" spans="1:11" ht="16.5" customHeight="1">
      <c r="A29" s="129" t="str">
        <f t="shared" ca="1" si="3"/>
        <v/>
      </c>
      <c r="B29" s="124" t="str">
        <f ca="1">IF(ROWS($1:16)&gt;COUNT(Dong3),"",OFFSET(TH!E$1,SMALL(Dong3,ROWS($1:16)),))</f>
        <v/>
      </c>
      <c r="C29" s="124" t="str">
        <f ca="1">IF(ROWS($1:16)&gt;COUNT(Dong3),"",IF(LEFT((OFFSET(TH!D$1,SMALL(Dong3,ROWS($1:16)),)),1)&lt;&gt;"N","",(OFFSET(TH!D$1,SMALL(Dong3,ROWS($1:16)),)&amp;"/"&amp;OFFSET(TH!C$1,SMALL(Dong3,ROWS($1:16)),))))</f>
        <v/>
      </c>
      <c r="D29" s="124" t="str">
        <f ca="1">IF(ROWS($1:16)&gt;COUNT(Dong3),"",IF(LEFT((OFFSET(TH!D$1,SMALL(Dong3,ROWS($1:16)),)),1)&lt;&gt;"X","",(OFFSET(TH!D$1,SMALL(Dong3,ROWS($1:16)),)&amp;"/"&amp;OFFSET(TH!C$1,SMALL(Dong3,ROWS($1:16)),))))</f>
        <v/>
      </c>
      <c r="E29" s="125" t="str">
        <f ca="1">IF(ROWS($1:16)&gt;COUNT(Dong3),"",OFFSET(TH!F$1,SMALL(Dong3,ROWS($1:16)),))</f>
        <v/>
      </c>
      <c r="F29" s="124" t="str">
        <f t="shared" ca="1" si="4"/>
        <v/>
      </c>
      <c r="G29" s="126">
        <f ca="1">IF(ROWS($1:16)&gt;COUNT(Dong3),0,IF(OFFSET(TH!K$1,SMALL(Dong3,ROWS($1:16)),)&lt;&gt;0,OFFSET(TH!K$1,SMALL(Dong3,ROWS($1:16)),),0))</f>
        <v>0</v>
      </c>
      <c r="H29" s="126">
        <f ca="1">IF(ROWS($1:16)&gt;COUNT(Dong3),0,IF(OFFSET(TH!M$1,SMALL(Dong3,ROWS($1:16)),)&lt;&gt;0,OFFSET(TH!M$1,SMALL(Dong3,ROWS($1:16)),),0))</f>
        <v>0</v>
      </c>
      <c r="I29" s="127">
        <f t="shared" ca="1" si="5"/>
        <v>0</v>
      </c>
      <c r="J29" s="128"/>
      <c r="K29" s="213"/>
    </row>
    <row r="30" spans="1:11" ht="16.5" customHeight="1">
      <c r="A30" s="129" t="str">
        <f t="shared" ca="1" si="3"/>
        <v/>
      </c>
      <c r="B30" s="124" t="str">
        <f ca="1">IF(ROWS($1:17)&gt;COUNT(Dong3),"",OFFSET(TH!E$1,SMALL(Dong3,ROWS($1:17)),))</f>
        <v/>
      </c>
      <c r="C30" s="124" t="str">
        <f ca="1">IF(ROWS($1:17)&gt;COUNT(Dong3),"",IF(LEFT((OFFSET(TH!D$1,SMALL(Dong3,ROWS($1:17)),)),1)&lt;&gt;"N","",(OFFSET(TH!D$1,SMALL(Dong3,ROWS($1:17)),)&amp;"/"&amp;OFFSET(TH!C$1,SMALL(Dong3,ROWS($1:17)),))))</f>
        <v/>
      </c>
      <c r="D30" s="124" t="str">
        <f ca="1">IF(ROWS($1:17)&gt;COUNT(Dong3),"",IF(LEFT((OFFSET(TH!D$1,SMALL(Dong3,ROWS($1:17)),)),1)&lt;&gt;"X","",(OFFSET(TH!D$1,SMALL(Dong3,ROWS($1:17)),)&amp;"/"&amp;OFFSET(TH!C$1,SMALL(Dong3,ROWS($1:17)),))))</f>
        <v/>
      </c>
      <c r="E30" s="125" t="str">
        <f ca="1">IF(ROWS($1:17)&gt;COUNT(Dong3),"",OFFSET(TH!F$1,SMALL(Dong3,ROWS($1:17)),))</f>
        <v/>
      </c>
      <c r="F30" s="124" t="str">
        <f t="shared" ca="1" si="4"/>
        <v/>
      </c>
      <c r="G30" s="126">
        <f ca="1">IF(ROWS($1:17)&gt;COUNT(Dong3),0,IF(OFFSET(TH!K$1,SMALL(Dong3,ROWS($1:17)),)&lt;&gt;0,OFFSET(TH!K$1,SMALL(Dong3,ROWS($1:17)),),0))</f>
        <v>0</v>
      </c>
      <c r="H30" s="126">
        <f ca="1">IF(ROWS($1:17)&gt;COUNT(Dong3),0,IF(OFFSET(TH!M$1,SMALL(Dong3,ROWS($1:17)),)&lt;&gt;0,OFFSET(TH!M$1,SMALL(Dong3,ROWS($1:17)),),0))</f>
        <v>0</v>
      </c>
      <c r="I30" s="127">
        <f t="shared" ca="1" si="5"/>
        <v>0</v>
      </c>
      <c r="J30" s="128"/>
      <c r="K30" s="213"/>
    </row>
    <row r="31" spans="1:11" ht="16.5" customHeight="1">
      <c r="A31" s="129" t="str">
        <f t="shared" ca="1" si="3"/>
        <v/>
      </c>
      <c r="B31" s="124" t="str">
        <f ca="1">IF(ROWS($1:18)&gt;COUNT(Dong3),"",OFFSET(TH!E$1,SMALL(Dong3,ROWS($1:18)),))</f>
        <v/>
      </c>
      <c r="C31" s="124" t="str">
        <f ca="1">IF(ROWS($1:18)&gt;COUNT(Dong3),"",IF(LEFT((OFFSET(TH!D$1,SMALL(Dong3,ROWS($1:18)),)),1)&lt;&gt;"N","",(OFFSET(TH!D$1,SMALL(Dong3,ROWS($1:18)),)&amp;"/"&amp;OFFSET(TH!C$1,SMALL(Dong3,ROWS($1:18)),))))</f>
        <v/>
      </c>
      <c r="D31" s="124" t="str">
        <f ca="1">IF(ROWS($1:18)&gt;COUNT(Dong3),"",IF(LEFT((OFFSET(TH!D$1,SMALL(Dong3,ROWS($1:18)),)),1)&lt;&gt;"X","",(OFFSET(TH!D$1,SMALL(Dong3,ROWS($1:18)),)&amp;"/"&amp;OFFSET(TH!C$1,SMALL(Dong3,ROWS($1:18)),))))</f>
        <v/>
      </c>
      <c r="E31" s="125" t="str">
        <f ca="1">IF(ROWS($1:18)&gt;COUNT(Dong3),"",OFFSET(TH!F$1,SMALL(Dong3,ROWS($1:18)),))</f>
        <v/>
      </c>
      <c r="F31" s="124" t="str">
        <f t="shared" ca="1" si="4"/>
        <v/>
      </c>
      <c r="G31" s="126">
        <f ca="1">IF(ROWS($1:18)&gt;COUNT(Dong3),0,IF(OFFSET(TH!K$1,SMALL(Dong3,ROWS($1:18)),)&lt;&gt;0,OFFSET(TH!K$1,SMALL(Dong3,ROWS($1:18)),),0))</f>
        <v>0</v>
      </c>
      <c r="H31" s="126">
        <f ca="1">IF(ROWS($1:18)&gt;COUNT(Dong3),0,IF(OFFSET(TH!M$1,SMALL(Dong3,ROWS($1:18)),)&lt;&gt;0,OFFSET(TH!M$1,SMALL(Dong3,ROWS($1:18)),),0))</f>
        <v>0</v>
      </c>
      <c r="I31" s="127">
        <f t="shared" ca="1" si="5"/>
        <v>0</v>
      </c>
      <c r="J31" s="128"/>
      <c r="K31" s="213"/>
    </row>
    <row r="32" spans="1:11" ht="16.5" customHeight="1">
      <c r="A32" s="129" t="str">
        <f t="shared" ca="1" si="3"/>
        <v/>
      </c>
      <c r="B32" s="124" t="str">
        <f ca="1">IF(ROWS($1:19)&gt;COUNT(Dong3),"",OFFSET(TH!E$1,SMALL(Dong3,ROWS($1:19)),))</f>
        <v/>
      </c>
      <c r="C32" s="124" t="str">
        <f ca="1">IF(ROWS($1:19)&gt;COUNT(Dong3),"",IF(LEFT((OFFSET(TH!D$1,SMALL(Dong3,ROWS($1:19)),)),1)&lt;&gt;"N","",(OFFSET(TH!D$1,SMALL(Dong3,ROWS($1:19)),)&amp;"/"&amp;OFFSET(TH!C$1,SMALL(Dong3,ROWS($1:19)),))))</f>
        <v/>
      </c>
      <c r="D32" s="124" t="str">
        <f ca="1">IF(ROWS($1:19)&gt;COUNT(Dong3),"",IF(LEFT((OFFSET(TH!D$1,SMALL(Dong3,ROWS($1:19)),)),1)&lt;&gt;"X","",(OFFSET(TH!D$1,SMALL(Dong3,ROWS($1:19)),)&amp;"/"&amp;OFFSET(TH!C$1,SMALL(Dong3,ROWS($1:19)),))))</f>
        <v/>
      </c>
      <c r="E32" s="125" t="str">
        <f ca="1">IF(ROWS($1:19)&gt;COUNT(Dong3),"",OFFSET(TH!F$1,SMALL(Dong3,ROWS($1:19)),))</f>
        <v/>
      </c>
      <c r="F32" s="124" t="str">
        <f t="shared" ca="1" si="4"/>
        <v/>
      </c>
      <c r="G32" s="126">
        <f ca="1">IF(ROWS($1:19)&gt;COUNT(Dong3),0,IF(OFFSET(TH!K$1,SMALL(Dong3,ROWS($1:19)),)&lt;&gt;0,OFFSET(TH!K$1,SMALL(Dong3,ROWS($1:19)),),0))</f>
        <v>0</v>
      </c>
      <c r="H32" s="126">
        <f ca="1">IF(ROWS($1:19)&gt;COUNT(Dong3),0,IF(OFFSET(TH!M$1,SMALL(Dong3,ROWS($1:19)),)&lt;&gt;0,OFFSET(TH!M$1,SMALL(Dong3,ROWS($1:19)),),0))</f>
        <v>0</v>
      </c>
      <c r="I32" s="127">
        <f t="shared" ca="1" si="5"/>
        <v>0</v>
      </c>
      <c r="J32" s="128"/>
      <c r="K32" s="213"/>
    </row>
    <row r="33" spans="1:11" ht="16.5" customHeight="1">
      <c r="A33" s="129" t="str">
        <f t="shared" ca="1" si="3"/>
        <v/>
      </c>
      <c r="B33" s="124" t="str">
        <f ca="1">IF(ROWS($1:20)&gt;COUNT(Dong3),"",OFFSET(TH!E$1,SMALL(Dong3,ROWS($1:20)),))</f>
        <v/>
      </c>
      <c r="C33" s="124" t="str">
        <f ca="1">IF(ROWS($1:20)&gt;COUNT(Dong3),"",IF(LEFT((OFFSET(TH!D$1,SMALL(Dong3,ROWS($1:20)),)),1)&lt;&gt;"N","",(OFFSET(TH!D$1,SMALL(Dong3,ROWS($1:20)),)&amp;"/"&amp;OFFSET(TH!C$1,SMALL(Dong3,ROWS($1:20)),))))</f>
        <v/>
      </c>
      <c r="D33" s="124" t="str">
        <f ca="1">IF(ROWS($1:20)&gt;COUNT(Dong3),"",IF(LEFT((OFFSET(TH!D$1,SMALL(Dong3,ROWS($1:20)),)),1)&lt;&gt;"X","",(OFFSET(TH!D$1,SMALL(Dong3,ROWS($1:20)),)&amp;"/"&amp;OFFSET(TH!C$1,SMALL(Dong3,ROWS($1:20)),))))</f>
        <v/>
      </c>
      <c r="E33" s="125" t="str">
        <f ca="1">IF(ROWS($1:20)&gt;COUNT(Dong3),"",OFFSET(TH!F$1,SMALL(Dong3,ROWS($1:20)),))</f>
        <v/>
      </c>
      <c r="F33" s="124" t="str">
        <f t="shared" ca="1" si="4"/>
        <v/>
      </c>
      <c r="G33" s="126">
        <f ca="1">IF(ROWS($1:20)&gt;COUNT(Dong3),0,IF(OFFSET(TH!K$1,SMALL(Dong3,ROWS($1:20)),)&lt;&gt;0,OFFSET(TH!K$1,SMALL(Dong3,ROWS($1:20)),),0))</f>
        <v>0</v>
      </c>
      <c r="H33" s="126">
        <f ca="1">IF(ROWS($1:20)&gt;COUNT(Dong3),0,IF(OFFSET(TH!M$1,SMALL(Dong3,ROWS($1:20)),)&lt;&gt;0,OFFSET(TH!M$1,SMALL(Dong3,ROWS($1:20)),),0))</f>
        <v>0</v>
      </c>
      <c r="I33" s="127">
        <f t="shared" ca="1" si="5"/>
        <v>0</v>
      </c>
      <c r="J33" s="128"/>
      <c r="K33" s="213"/>
    </row>
    <row r="34" spans="1:11" ht="16.5" customHeight="1">
      <c r="A34" s="129" t="str">
        <f t="shared" ca="1" si="3"/>
        <v/>
      </c>
      <c r="B34" s="124" t="str">
        <f ca="1">IF(ROWS($1:21)&gt;COUNT(Dong3),"",OFFSET(TH!E$1,SMALL(Dong3,ROWS($1:21)),))</f>
        <v/>
      </c>
      <c r="C34" s="124" t="str">
        <f ca="1">IF(ROWS($1:21)&gt;COUNT(Dong3),"",IF(LEFT((OFFSET(TH!D$1,SMALL(Dong3,ROWS($1:21)),)),1)&lt;&gt;"N","",(OFFSET(TH!D$1,SMALL(Dong3,ROWS($1:21)),)&amp;"/"&amp;OFFSET(TH!C$1,SMALL(Dong3,ROWS($1:21)),))))</f>
        <v/>
      </c>
      <c r="D34" s="124" t="str">
        <f ca="1">IF(ROWS($1:21)&gt;COUNT(Dong3),"",IF(LEFT((OFFSET(TH!D$1,SMALL(Dong3,ROWS($1:21)),)),1)&lt;&gt;"X","",(OFFSET(TH!D$1,SMALL(Dong3,ROWS($1:21)),)&amp;"/"&amp;OFFSET(TH!C$1,SMALL(Dong3,ROWS($1:21)),))))</f>
        <v/>
      </c>
      <c r="E34" s="125" t="str">
        <f ca="1">IF(ROWS($1:21)&gt;COUNT(Dong3),"",OFFSET(TH!F$1,SMALL(Dong3,ROWS($1:21)),))</f>
        <v/>
      </c>
      <c r="F34" s="124" t="str">
        <f t="shared" ca="1" si="4"/>
        <v/>
      </c>
      <c r="G34" s="126">
        <f ca="1">IF(ROWS($1:21)&gt;COUNT(Dong3),0,IF(OFFSET(TH!K$1,SMALL(Dong3,ROWS($1:21)),)&lt;&gt;0,OFFSET(TH!K$1,SMALL(Dong3,ROWS($1:21)),),0))</f>
        <v>0</v>
      </c>
      <c r="H34" s="126">
        <f ca="1">IF(ROWS($1:21)&gt;COUNT(Dong3),0,IF(OFFSET(TH!M$1,SMALL(Dong3,ROWS($1:21)),)&lt;&gt;0,OFFSET(TH!M$1,SMALL(Dong3,ROWS($1:21)),),0))</f>
        <v>0</v>
      </c>
      <c r="I34" s="127">
        <f t="shared" ca="1" si="5"/>
        <v>0</v>
      </c>
      <c r="J34" s="128"/>
      <c r="K34" s="213"/>
    </row>
    <row r="35" spans="1:11" ht="16.5" customHeight="1">
      <c r="A35" s="129" t="str">
        <f t="shared" ca="1" si="3"/>
        <v/>
      </c>
      <c r="B35" s="124" t="str">
        <f ca="1">IF(ROWS($1:22)&gt;COUNT(Dong3),"",OFFSET(TH!E$1,SMALL(Dong3,ROWS($1:22)),))</f>
        <v/>
      </c>
      <c r="C35" s="124" t="str">
        <f ca="1">IF(ROWS($1:22)&gt;COUNT(Dong3),"",IF(LEFT((OFFSET(TH!D$1,SMALL(Dong3,ROWS($1:22)),)),1)&lt;&gt;"N","",(OFFSET(TH!D$1,SMALL(Dong3,ROWS($1:22)),)&amp;"/"&amp;OFFSET(TH!C$1,SMALL(Dong3,ROWS($1:22)),))))</f>
        <v/>
      </c>
      <c r="D35" s="124" t="str">
        <f ca="1">IF(ROWS($1:22)&gt;COUNT(Dong3),"",IF(LEFT((OFFSET(TH!D$1,SMALL(Dong3,ROWS($1:22)),)),1)&lt;&gt;"X","",(OFFSET(TH!D$1,SMALL(Dong3,ROWS($1:22)),)&amp;"/"&amp;OFFSET(TH!C$1,SMALL(Dong3,ROWS($1:22)),))))</f>
        <v/>
      </c>
      <c r="E35" s="125" t="str">
        <f ca="1">IF(ROWS($1:22)&gt;COUNT(Dong3),"",OFFSET(TH!F$1,SMALL(Dong3,ROWS($1:22)),))</f>
        <v/>
      </c>
      <c r="F35" s="124" t="str">
        <f t="shared" ca="1" si="4"/>
        <v/>
      </c>
      <c r="G35" s="126">
        <f ca="1">IF(ROWS($1:22)&gt;COUNT(Dong3),0,IF(OFFSET(TH!K$1,SMALL(Dong3,ROWS($1:22)),)&lt;&gt;0,OFFSET(TH!K$1,SMALL(Dong3,ROWS($1:22)),),0))</f>
        <v>0</v>
      </c>
      <c r="H35" s="126">
        <f ca="1">IF(ROWS($1:22)&gt;COUNT(Dong3),0,IF(OFFSET(TH!M$1,SMALL(Dong3,ROWS($1:22)),)&lt;&gt;0,OFFSET(TH!M$1,SMALL(Dong3,ROWS($1:22)),),0))</f>
        <v>0</v>
      </c>
      <c r="I35" s="127">
        <f t="shared" ca="1" si="5"/>
        <v>0</v>
      </c>
      <c r="J35" s="128"/>
      <c r="K35" s="213"/>
    </row>
    <row r="36" spans="1:11" ht="16.5" customHeight="1">
      <c r="A36" s="129" t="str">
        <f t="shared" ca="1" si="3"/>
        <v/>
      </c>
      <c r="B36" s="124" t="str">
        <f ca="1">IF(ROWS($1:23)&gt;COUNT(Dong3),"",OFFSET(TH!E$1,SMALL(Dong3,ROWS($1:23)),))</f>
        <v/>
      </c>
      <c r="C36" s="124" t="str">
        <f ca="1">IF(ROWS($1:23)&gt;COUNT(Dong3),"",IF(LEFT((OFFSET(TH!D$1,SMALL(Dong3,ROWS($1:23)),)),1)&lt;&gt;"N","",(OFFSET(TH!D$1,SMALL(Dong3,ROWS($1:23)),)&amp;"/"&amp;OFFSET(TH!C$1,SMALL(Dong3,ROWS($1:23)),))))</f>
        <v/>
      </c>
      <c r="D36" s="124" t="str">
        <f ca="1">IF(ROWS($1:23)&gt;COUNT(Dong3),"",IF(LEFT((OFFSET(TH!D$1,SMALL(Dong3,ROWS($1:23)),)),1)&lt;&gt;"X","",(OFFSET(TH!D$1,SMALL(Dong3,ROWS($1:23)),)&amp;"/"&amp;OFFSET(TH!C$1,SMALL(Dong3,ROWS($1:23)),))))</f>
        <v/>
      </c>
      <c r="E36" s="125" t="str">
        <f ca="1">IF(ROWS($1:23)&gt;COUNT(Dong3),"",OFFSET(TH!F$1,SMALL(Dong3,ROWS($1:23)),))</f>
        <v/>
      </c>
      <c r="F36" s="124" t="str">
        <f t="shared" ca="1" si="4"/>
        <v/>
      </c>
      <c r="G36" s="126">
        <f ca="1">IF(ROWS($1:23)&gt;COUNT(Dong3),0,IF(OFFSET(TH!K$1,SMALL(Dong3,ROWS($1:23)),)&lt;&gt;0,OFFSET(TH!K$1,SMALL(Dong3,ROWS($1:23)),),0))</f>
        <v>0</v>
      </c>
      <c r="H36" s="126">
        <f ca="1">IF(ROWS($1:23)&gt;COUNT(Dong3),0,IF(OFFSET(TH!M$1,SMALL(Dong3,ROWS($1:23)),)&lt;&gt;0,OFFSET(TH!M$1,SMALL(Dong3,ROWS($1:23)),),0))</f>
        <v>0</v>
      </c>
      <c r="I36" s="127">
        <f t="shared" ca="1" si="5"/>
        <v>0</v>
      </c>
      <c r="J36" s="128"/>
      <c r="K36" s="213"/>
    </row>
    <row r="37" spans="1:11" ht="16.5" customHeight="1">
      <c r="A37" s="129" t="str">
        <f t="shared" ca="1" si="3"/>
        <v/>
      </c>
      <c r="B37" s="124" t="str">
        <f ca="1">IF(ROWS($1:24)&gt;COUNT(Dong3),"",OFFSET(TH!E$1,SMALL(Dong3,ROWS($1:24)),))</f>
        <v/>
      </c>
      <c r="C37" s="124" t="str">
        <f ca="1">IF(ROWS($1:24)&gt;COUNT(Dong3),"",IF(LEFT((OFFSET(TH!D$1,SMALL(Dong3,ROWS($1:24)),)),1)&lt;&gt;"N","",(OFFSET(TH!D$1,SMALL(Dong3,ROWS($1:24)),)&amp;"/"&amp;OFFSET(TH!C$1,SMALL(Dong3,ROWS($1:24)),))))</f>
        <v/>
      </c>
      <c r="D37" s="124" t="str">
        <f ca="1">IF(ROWS($1:24)&gt;COUNT(Dong3),"",IF(LEFT((OFFSET(TH!D$1,SMALL(Dong3,ROWS($1:24)),)),1)&lt;&gt;"X","",(OFFSET(TH!D$1,SMALL(Dong3,ROWS($1:24)),)&amp;"/"&amp;OFFSET(TH!C$1,SMALL(Dong3,ROWS($1:24)),))))</f>
        <v/>
      </c>
      <c r="E37" s="125" t="str">
        <f ca="1">IF(ROWS($1:24)&gt;COUNT(Dong3),"",OFFSET(TH!F$1,SMALL(Dong3,ROWS($1:24)),))</f>
        <v/>
      </c>
      <c r="F37" s="124" t="str">
        <f t="shared" ca="1" si="4"/>
        <v/>
      </c>
      <c r="G37" s="126">
        <f ca="1">IF(ROWS($1:24)&gt;COUNT(Dong3),0,IF(OFFSET(TH!K$1,SMALL(Dong3,ROWS($1:24)),)&lt;&gt;0,OFFSET(TH!K$1,SMALL(Dong3,ROWS($1:24)),),0))</f>
        <v>0</v>
      </c>
      <c r="H37" s="126">
        <f ca="1">IF(ROWS($1:24)&gt;COUNT(Dong3),0,IF(OFFSET(TH!M$1,SMALL(Dong3,ROWS($1:24)),)&lt;&gt;0,OFFSET(TH!M$1,SMALL(Dong3,ROWS($1:24)),),0))</f>
        <v>0</v>
      </c>
      <c r="I37" s="127">
        <f t="shared" ca="1" si="5"/>
        <v>0</v>
      </c>
      <c r="J37" s="128"/>
      <c r="K37" s="213"/>
    </row>
    <row r="38" spans="1:11" ht="16.5" customHeight="1">
      <c r="A38" s="129" t="str">
        <f t="shared" ca="1" si="3"/>
        <v/>
      </c>
      <c r="B38" s="124" t="str">
        <f ca="1">IF(ROWS($1:25)&gt;COUNT(Dong3),"",OFFSET(TH!E$1,SMALL(Dong3,ROWS($1:25)),))</f>
        <v/>
      </c>
      <c r="C38" s="124" t="str">
        <f ca="1">IF(ROWS($1:25)&gt;COUNT(Dong3),"",IF(LEFT((OFFSET(TH!D$1,SMALL(Dong3,ROWS($1:25)),)),1)&lt;&gt;"N","",(OFFSET(TH!D$1,SMALL(Dong3,ROWS($1:25)),)&amp;"/"&amp;OFFSET(TH!C$1,SMALL(Dong3,ROWS($1:25)),))))</f>
        <v/>
      </c>
      <c r="D38" s="124" t="str">
        <f ca="1">IF(ROWS($1:25)&gt;COUNT(Dong3),"",IF(LEFT((OFFSET(TH!D$1,SMALL(Dong3,ROWS($1:25)),)),1)&lt;&gt;"X","",(OFFSET(TH!D$1,SMALL(Dong3,ROWS($1:25)),)&amp;"/"&amp;OFFSET(TH!C$1,SMALL(Dong3,ROWS($1:25)),))))</f>
        <v/>
      </c>
      <c r="E38" s="125" t="str">
        <f ca="1">IF(ROWS($1:25)&gt;COUNT(Dong3),"",OFFSET(TH!F$1,SMALL(Dong3,ROWS($1:25)),))</f>
        <v/>
      </c>
      <c r="F38" s="124" t="str">
        <f t="shared" ca="1" si="4"/>
        <v/>
      </c>
      <c r="G38" s="126">
        <f ca="1">IF(ROWS($1:25)&gt;COUNT(Dong3),0,IF(OFFSET(TH!K$1,SMALL(Dong3,ROWS($1:25)),)&lt;&gt;0,OFFSET(TH!K$1,SMALL(Dong3,ROWS($1:25)),),0))</f>
        <v>0</v>
      </c>
      <c r="H38" s="126">
        <f ca="1">IF(ROWS($1:25)&gt;COUNT(Dong3),0,IF(OFFSET(TH!M$1,SMALL(Dong3,ROWS($1:25)),)&lt;&gt;0,OFFSET(TH!M$1,SMALL(Dong3,ROWS($1:25)),),0))</f>
        <v>0</v>
      </c>
      <c r="I38" s="127">
        <f t="shared" ca="1" si="5"/>
        <v>0</v>
      </c>
      <c r="J38" s="128"/>
      <c r="K38" s="213"/>
    </row>
    <row r="39" spans="1:11" ht="16.5" customHeight="1">
      <c r="A39" s="129" t="str">
        <f t="shared" ca="1" si="3"/>
        <v/>
      </c>
      <c r="B39" s="124" t="str">
        <f ca="1">IF(ROWS($1:26)&gt;COUNT(Dong3),"",OFFSET(TH!E$1,SMALL(Dong3,ROWS($1:26)),))</f>
        <v/>
      </c>
      <c r="C39" s="124" t="str">
        <f ca="1">IF(ROWS($1:26)&gt;COUNT(Dong3),"",IF(LEFT((OFFSET(TH!D$1,SMALL(Dong3,ROWS($1:26)),)),1)&lt;&gt;"N","",(OFFSET(TH!D$1,SMALL(Dong3,ROWS($1:26)),)&amp;"/"&amp;OFFSET(TH!C$1,SMALL(Dong3,ROWS($1:26)),))))</f>
        <v/>
      </c>
      <c r="D39" s="124" t="str">
        <f ca="1">IF(ROWS($1:26)&gt;COUNT(Dong3),"",IF(LEFT((OFFSET(TH!D$1,SMALL(Dong3,ROWS($1:26)),)),1)&lt;&gt;"X","",(OFFSET(TH!D$1,SMALL(Dong3,ROWS($1:26)),)&amp;"/"&amp;OFFSET(TH!C$1,SMALL(Dong3,ROWS($1:26)),))))</f>
        <v/>
      </c>
      <c r="E39" s="125" t="str">
        <f ca="1">IF(ROWS($1:26)&gt;COUNT(Dong3),"",OFFSET(TH!F$1,SMALL(Dong3,ROWS($1:26)),))</f>
        <v/>
      </c>
      <c r="F39" s="124" t="str">
        <f t="shared" ca="1" si="4"/>
        <v/>
      </c>
      <c r="G39" s="126">
        <f ca="1">IF(ROWS($1:26)&gt;COUNT(Dong3),0,IF(OFFSET(TH!K$1,SMALL(Dong3,ROWS($1:26)),)&lt;&gt;0,OFFSET(TH!K$1,SMALL(Dong3,ROWS($1:26)),),0))</f>
        <v>0</v>
      </c>
      <c r="H39" s="126">
        <f ca="1">IF(ROWS($1:26)&gt;COUNT(Dong3),0,IF(OFFSET(TH!M$1,SMALL(Dong3,ROWS($1:26)),)&lt;&gt;0,OFFSET(TH!M$1,SMALL(Dong3,ROWS($1:26)),),0))</f>
        <v>0</v>
      </c>
      <c r="I39" s="127">
        <f t="shared" ca="1" si="5"/>
        <v>0</v>
      </c>
      <c r="J39" s="128"/>
      <c r="K39" s="213"/>
    </row>
    <row r="40" spans="1:11" ht="16.5" customHeight="1">
      <c r="A40" s="129" t="str">
        <f t="shared" ca="1" si="3"/>
        <v/>
      </c>
      <c r="B40" s="124" t="str">
        <f ca="1">IF(ROWS($1:27)&gt;COUNT(Dong3),"",OFFSET(TH!E$1,SMALL(Dong3,ROWS($1:27)),))</f>
        <v/>
      </c>
      <c r="C40" s="124" t="str">
        <f ca="1">IF(ROWS($1:27)&gt;COUNT(Dong3),"",IF(LEFT((OFFSET(TH!D$1,SMALL(Dong3,ROWS($1:27)),)),1)&lt;&gt;"N","",(OFFSET(TH!D$1,SMALL(Dong3,ROWS($1:27)),)&amp;"/"&amp;OFFSET(TH!C$1,SMALL(Dong3,ROWS($1:27)),))))</f>
        <v/>
      </c>
      <c r="D40" s="124" t="str">
        <f ca="1">IF(ROWS($1:27)&gt;COUNT(Dong3),"",IF(LEFT((OFFSET(TH!D$1,SMALL(Dong3,ROWS($1:27)),)),1)&lt;&gt;"X","",(OFFSET(TH!D$1,SMALL(Dong3,ROWS($1:27)),)&amp;"/"&amp;OFFSET(TH!C$1,SMALL(Dong3,ROWS($1:27)),))))</f>
        <v/>
      </c>
      <c r="E40" s="125" t="str">
        <f ca="1">IF(ROWS($1:27)&gt;COUNT(Dong3),"",OFFSET(TH!F$1,SMALL(Dong3,ROWS($1:27)),))</f>
        <v/>
      </c>
      <c r="F40" s="124" t="str">
        <f t="shared" ca="1" si="4"/>
        <v/>
      </c>
      <c r="G40" s="126">
        <f ca="1">IF(ROWS($1:27)&gt;COUNT(Dong3),0,IF(OFFSET(TH!K$1,SMALL(Dong3,ROWS($1:27)),)&lt;&gt;0,OFFSET(TH!K$1,SMALL(Dong3,ROWS($1:27)),),0))</f>
        <v>0</v>
      </c>
      <c r="H40" s="126">
        <f ca="1">IF(ROWS($1:27)&gt;COUNT(Dong3),0,IF(OFFSET(TH!M$1,SMALL(Dong3,ROWS($1:27)),)&lt;&gt;0,OFFSET(TH!M$1,SMALL(Dong3,ROWS($1:27)),),0))</f>
        <v>0</v>
      </c>
      <c r="I40" s="127">
        <f t="shared" ca="1" si="5"/>
        <v>0</v>
      </c>
      <c r="J40" s="128"/>
      <c r="K40" s="213"/>
    </row>
    <row r="41" spans="1:11" ht="16.5" customHeight="1">
      <c r="A41" s="129" t="str">
        <f t="shared" ca="1" si="3"/>
        <v/>
      </c>
      <c r="B41" s="124" t="str">
        <f ca="1">IF(ROWS($1:28)&gt;COUNT(Dong3),"",OFFSET(TH!E$1,SMALL(Dong3,ROWS($1:28)),))</f>
        <v/>
      </c>
      <c r="C41" s="124" t="str">
        <f ca="1">IF(ROWS($1:28)&gt;COUNT(Dong3),"",IF(LEFT((OFFSET(TH!D$1,SMALL(Dong3,ROWS($1:28)),)),1)&lt;&gt;"N","",(OFFSET(TH!D$1,SMALL(Dong3,ROWS($1:28)),)&amp;"/"&amp;OFFSET(TH!C$1,SMALL(Dong3,ROWS($1:28)),))))</f>
        <v/>
      </c>
      <c r="D41" s="124" t="str">
        <f ca="1">IF(ROWS($1:28)&gt;COUNT(Dong3),"",IF(LEFT((OFFSET(TH!D$1,SMALL(Dong3,ROWS($1:28)),)),1)&lt;&gt;"X","",(OFFSET(TH!D$1,SMALL(Dong3,ROWS($1:28)),)&amp;"/"&amp;OFFSET(TH!C$1,SMALL(Dong3,ROWS($1:28)),))))</f>
        <v/>
      </c>
      <c r="E41" s="125" t="str">
        <f ca="1">IF(ROWS($1:28)&gt;COUNT(Dong3),"",OFFSET(TH!F$1,SMALL(Dong3,ROWS($1:28)),))</f>
        <v/>
      </c>
      <c r="F41" s="124" t="str">
        <f t="shared" ca="1" si="4"/>
        <v/>
      </c>
      <c r="G41" s="126">
        <f ca="1">IF(ROWS($1:28)&gt;COUNT(Dong3),0,IF(OFFSET(TH!K$1,SMALL(Dong3,ROWS($1:28)),)&lt;&gt;0,OFFSET(TH!K$1,SMALL(Dong3,ROWS($1:28)),),0))</f>
        <v>0</v>
      </c>
      <c r="H41" s="126">
        <f ca="1">IF(ROWS($1:28)&gt;COUNT(Dong3),0,IF(OFFSET(TH!M$1,SMALL(Dong3,ROWS($1:28)),)&lt;&gt;0,OFFSET(TH!M$1,SMALL(Dong3,ROWS($1:28)),),0))</f>
        <v>0</v>
      </c>
      <c r="I41" s="127">
        <f t="shared" ca="1" si="5"/>
        <v>0</v>
      </c>
      <c r="J41" s="128"/>
      <c r="K41" s="213"/>
    </row>
    <row r="42" spans="1:11" ht="16.5" customHeight="1">
      <c r="A42" s="129" t="str">
        <f t="shared" ca="1" si="3"/>
        <v/>
      </c>
      <c r="B42" s="124" t="str">
        <f ca="1">IF(ROWS($1:29)&gt;COUNT(Dong3),"",OFFSET(TH!E$1,SMALL(Dong3,ROWS($1:29)),))</f>
        <v/>
      </c>
      <c r="C42" s="124" t="str">
        <f ca="1">IF(ROWS($1:29)&gt;COUNT(Dong3),"",IF(LEFT((OFFSET(TH!D$1,SMALL(Dong3,ROWS($1:29)),)),1)&lt;&gt;"N","",(OFFSET(TH!D$1,SMALL(Dong3,ROWS($1:29)),)&amp;"/"&amp;OFFSET(TH!C$1,SMALL(Dong3,ROWS($1:29)),))))</f>
        <v/>
      </c>
      <c r="D42" s="124" t="str">
        <f ca="1">IF(ROWS($1:29)&gt;COUNT(Dong3),"",IF(LEFT((OFFSET(TH!D$1,SMALL(Dong3,ROWS($1:29)),)),1)&lt;&gt;"X","",(OFFSET(TH!D$1,SMALL(Dong3,ROWS($1:29)),)&amp;"/"&amp;OFFSET(TH!C$1,SMALL(Dong3,ROWS($1:29)),))))</f>
        <v/>
      </c>
      <c r="E42" s="125" t="str">
        <f ca="1">IF(ROWS($1:29)&gt;COUNT(Dong3),"",OFFSET(TH!F$1,SMALL(Dong3,ROWS($1:29)),))</f>
        <v/>
      </c>
      <c r="F42" s="124" t="str">
        <f t="shared" ca="1" si="4"/>
        <v/>
      </c>
      <c r="G42" s="126">
        <f ca="1">IF(ROWS($1:29)&gt;COUNT(Dong3),0,IF(OFFSET(TH!K$1,SMALL(Dong3,ROWS($1:29)),)&lt;&gt;0,OFFSET(TH!K$1,SMALL(Dong3,ROWS($1:29)),),0))</f>
        <v>0</v>
      </c>
      <c r="H42" s="126">
        <f ca="1">IF(ROWS($1:29)&gt;COUNT(Dong3),0,IF(OFFSET(TH!M$1,SMALL(Dong3,ROWS($1:29)),)&lt;&gt;0,OFFSET(TH!M$1,SMALL(Dong3,ROWS($1:29)),),0))</f>
        <v>0</v>
      </c>
      <c r="I42" s="127">
        <f t="shared" ca="1" si="5"/>
        <v>0</v>
      </c>
      <c r="J42" s="128"/>
      <c r="K42" s="213"/>
    </row>
    <row r="43" spans="1:11" ht="16.5" customHeight="1">
      <c r="A43" s="129" t="str">
        <f t="shared" ca="1" si="3"/>
        <v/>
      </c>
      <c r="B43" s="124" t="str">
        <f ca="1">IF(ROWS($1:30)&gt;COUNT(Dong3),"",OFFSET(TH!E$1,SMALL(Dong3,ROWS($1:30)),))</f>
        <v/>
      </c>
      <c r="C43" s="124" t="str">
        <f ca="1">IF(ROWS($1:30)&gt;COUNT(Dong3),"",IF(LEFT((OFFSET(TH!D$1,SMALL(Dong3,ROWS($1:30)),)),1)&lt;&gt;"N","",(OFFSET(TH!D$1,SMALL(Dong3,ROWS($1:30)),)&amp;"/"&amp;OFFSET(TH!C$1,SMALL(Dong3,ROWS($1:30)),))))</f>
        <v/>
      </c>
      <c r="D43" s="124" t="str">
        <f ca="1">IF(ROWS($1:30)&gt;COUNT(Dong3),"",IF(LEFT((OFFSET(TH!D$1,SMALL(Dong3,ROWS($1:30)),)),1)&lt;&gt;"X","",(OFFSET(TH!D$1,SMALL(Dong3,ROWS($1:30)),)&amp;"/"&amp;OFFSET(TH!C$1,SMALL(Dong3,ROWS($1:30)),))))</f>
        <v/>
      </c>
      <c r="E43" s="125" t="str">
        <f ca="1">IF(ROWS($1:30)&gt;COUNT(Dong3),"",OFFSET(TH!F$1,SMALL(Dong3,ROWS($1:30)),))</f>
        <v/>
      </c>
      <c r="F43" s="124" t="str">
        <f t="shared" ca="1" si="4"/>
        <v/>
      </c>
      <c r="G43" s="126">
        <f ca="1">IF(ROWS($1:30)&gt;COUNT(Dong3),0,IF(OFFSET(TH!K$1,SMALL(Dong3,ROWS($1:30)),)&lt;&gt;0,OFFSET(TH!K$1,SMALL(Dong3,ROWS($1:30)),),0))</f>
        <v>0</v>
      </c>
      <c r="H43" s="126">
        <f ca="1">IF(ROWS($1:30)&gt;COUNT(Dong3),0,IF(OFFSET(TH!M$1,SMALL(Dong3,ROWS($1:30)),)&lt;&gt;0,OFFSET(TH!M$1,SMALL(Dong3,ROWS($1:30)),),0))</f>
        <v>0</v>
      </c>
      <c r="I43" s="127">
        <f t="shared" ca="1" si="5"/>
        <v>0</v>
      </c>
      <c r="J43" s="128"/>
      <c r="K43" s="213"/>
    </row>
    <row r="44" spans="1:11" ht="16.5" customHeight="1">
      <c r="A44" s="129" t="str">
        <f t="shared" ca="1" si="3"/>
        <v/>
      </c>
      <c r="B44" s="124" t="str">
        <f ca="1">IF(ROWS($1:31)&gt;COUNT(Dong3),"",OFFSET(TH!E$1,SMALL(Dong3,ROWS($1:31)),))</f>
        <v/>
      </c>
      <c r="C44" s="124" t="str">
        <f ca="1">IF(ROWS($1:31)&gt;COUNT(Dong3),"",IF(LEFT((OFFSET(TH!D$1,SMALL(Dong3,ROWS($1:31)),)),1)&lt;&gt;"N","",(OFFSET(TH!D$1,SMALL(Dong3,ROWS($1:31)),)&amp;"/"&amp;OFFSET(TH!C$1,SMALL(Dong3,ROWS($1:31)),))))</f>
        <v/>
      </c>
      <c r="D44" s="124" t="str">
        <f ca="1">IF(ROWS($1:31)&gt;COUNT(Dong3),"",IF(LEFT((OFFSET(TH!D$1,SMALL(Dong3,ROWS($1:31)),)),1)&lt;&gt;"X","",(OFFSET(TH!D$1,SMALL(Dong3,ROWS($1:31)),)&amp;"/"&amp;OFFSET(TH!C$1,SMALL(Dong3,ROWS($1:31)),))))</f>
        <v/>
      </c>
      <c r="E44" s="125" t="str">
        <f ca="1">IF(ROWS($1:31)&gt;COUNT(Dong3),"",OFFSET(TH!F$1,SMALL(Dong3,ROWS($1:31)),))</f>
        <v/>
      </c>
      <c r="F44" s="124" t="str">
        <f t="shared" ca="1" si="4"/>
        <v/>
      </c>
      <c r="G44" s="126">
        <f ca="1">IF(ROWS($1:31)&gt;COUNT(Dong3),0,IF(OFFSET(TH!K$1,SMALL(Dong3,ROWS($1:31)),)&lt;&gt;0,OFFSET(TH!K$1,SMALL(Dong3,ROWS($1:31)),),0))</f>
        <v>0</v>
      </c>
      <c r="H44" s="126">
        <f ca="1">IF(ROWS($1:31)&gt;COUNT(Dong3),0,IF(OFFSET(TH!M$1,SMALL(Dong3,ROWS($1:31)),)&lt;&gt;0,OFFSET(TH!M$1,SMALL(Dong3,ROWS($1:31)),),0))</f>
        <v>0</v>
      </c>
      <c r="I44" s="127">
        <f t="shared" ca="1" si="5"/>
        <v>0</v>
      </c>
      <c r="J44" s="128"/>
      <c r="K44" s="213"/>
    </row>
    <row r="45" spans="1:11" ht="16.5" customHeight="1">
      <c r="A45" s="129" t="str">
        <f t="shared" ca="1" si="3"/>
        <v/>
      </c>
      <c r="B45" s="124" t="str">
        <f ca="1">IF(ROWS($1:32)&gt;COUNT(Dong3),"",OFFSET(TH!E$1,SMALL(Dong3,ROWS($1:32)),))</f>
        <v/>
      </c>
      <c r="C45" s="124" t="str">
        <f ca="1">IF(ROWS($1:32)&gt;COUNT(Dong3),"",IF(LEFT((OFFSET(TH!D$1,SMALL(Dong3,ROWS($1:32)),)),1)&lt;&gt;"N","",(OFFSET(TH!D$1,SMALL(Dong3,ROWS($1:32)),)&amp;"/"&amp;OFFSET(TH!C$1,SMALL(Dong3,ROWS($1:32)),))))</f>
        <v/>
      </c>
      <c r="D45" s="124" t="str">
        <f ca="1">IF(ROWS($1:32)&gt;COUNT(Dong3),"",IF(LEFT((OFFSET(TH!D$1,SMALL(Dong3,ROWS($1:32)),)),1)&lt;&gt;"X","",(OFFSET(TH!D$1,SMALL(Dong3,ROWS($1:32)),)&amp;"/"&amp;OFFSET(TH!C$1,SMALL(Dong3,ROWS($1:32)),))))</f>
        <v/>
      </c>
      <c r="E45" s="125" t="str">
        <f ca="1">IF(ROWS($1:32)&gt;COUNT(Dong3),"",OFFSET(TH!F$1,SMALL(Dong3,ROWS($1:32)),))</f>
        <v/>
      </c>
      <c r="F45" s="124" t="str">
        <f t="shared" ca="1" si="4"/>
        <v/>
      </c>
      <c r="G45" s="126">
        <f ca="1">IF(ROWS($1:32)&gt;COUNT(Dong3),0,IF(OFFSET(TH!K$1,SMALL(Dong3,ROWS($1:32)),)&lt;&gt;0,OFFSET(TH!K$1,SMALL(Dong3,ROWS($1:32)),),0))</f>
        <v>0</v>
      </c>
      <c r="H45" s="126">
        <f ca="1">IF(ROWS($1:32)&gt;COUNT(Dong3),0,IF(OFFSET(TH!M$1,SMALL(Dong3,ROWS($1:32)),)&lt;&gt;0,OFFSET(TH!M$1,SMALL(Dong3,ROWS($1:32)),),0))</f>
        <v>0</v>
      </c>
      <c r="I45" s="127">
        <f t="shared" ca="1" si="5"/>
        <v>0</v>
      </c>
      <c r="J45" s="128"/>
      <c r="K45" s="213"/>
    </row>
    <row r="46" spans="1:11" ht="16.5" customHeight="1">
      <c r="A46" s="129" t="str">
        <f t="shared" ca="1" si="3"/>
        <v/>
      </c>
      <c r="B46" s="124" t="str">
        <f ca="1">IF(ROWS($1:33)&gt;COUNT(Dong3),"",OFFSET(TH!E$1,SMALL(Dong3,ROWS($1:33)),))</f>
        <v/>
      </c>
      <c r="C46" s="124" t="str">
        <f ca="1">IF(ROWS($1:33)&gt;COUNT(Dong3),"",IF(LEFT((OFFSET(TH!D$1,SMALL(Dong3,ROWS($1:33)),)),1)&lt;&gt;"N","",(OFFSET(TH!D$1,SMALL(Dong3,ROWS($1:33)),)&amp;"/"&amp;OFFSET(TH!C$1,SMALL(Dong3,ROWS($1:33)),))))</f>
        <v/>
      </c>
      <c r="D46" s="124" t="str">
        <f ca="1">IF(ROWS($1:33)&gt;COUNT(Dong3),"",IF(LEFT((OFFSET(TH!D$1,SMALL(Dong3,ROWS($1:33)),)),1)&lt;&gt;"X","",(OFFSET(TH!D$1,SMALL(Dong3,ROWS($1:33)),)&amp;"/"&amp;OFFSET(TH!C$1,SMALL(Dong3,ROWS($1:33)),))))</f>
        <v/>
      </c>
      <c r="E46" s="125" t="str">
        <f ca="1">IF(ROWS($1:33)&gt;COUNT(Dong3),"",OFFSET(TH!F$1,SMALL(Dong3,ROWS($1:33)),))</f>
        <v/>
      </c>
      <c r="F46" s="124" t="str">
        <f t="shared" ca="1" si="4"/>
        <v/>
      </c>
      <c r="G46" s="126">
        <f ca="1">IF(ROWS($1:33)&gt;COUNT(Dong3),0,IF(OFFSET(TH!K$1,SMALL(Dong3,ROWS($1:33)),)&lt;&gt;0,OFFSET(TH!K$1,SMALL(Dong3,ROWS($1:33)),),0))</f>
        <v>0</v>
      </c>
      <c r="H46" s="126">
        <f ca="1">IF(ROWS($1:33)&gt;COUNT(Dong3),0,IF(OFFSET(TH!M$1,SMALL(Dong3,ROWS($1:33)),)&lt;&gt;0,OFFSET(TH!M$1,SMALL(Dong3,ROWS($1:33)),),0))</f>
        <v>0</v>
      </c>
      <c r="I46" s="127">
        <f t="shared" ca="1" si="5"/>
        <v>0</v>
      </c>
      <c r="J46" s="128"/>
      <c r="K46" s="213"/>
    </row>
    <row r="47" spans="1:11" ht="16.5" customHeight="1">
      <c r="A47" s="129" t="str">
        <f t="shared" ca="1" si="3"/>
        <v/>
      </c>
      <c r="B47" s="124" t="str">
        <f ca="1">IF(ROWS($1:34)&gt;COUNT(Dong3),"",OFFSET(TH!E$1,SMALL(Dong3,ROWS($1:34)),))</f>
        <v/>
      </c>
      <c r="C47" s="124" t="str">
        <f ca="1">IF(ROWS($1:34)&gt;COUNT(Dong3),"",IF(LEFT((OFFSET(TH!D$1,SMALL(Dong3,ROWS($1:34)),)),1)&lt;&gt;"N","",(OFFSET(TH!D$1,SMALL(Dong3,ROWS($1:34)),)&amp;"/"&amp;OFFSET(TH!C$1,SMALL(Dong3,ROWS($1:34)),))))</f>
        <v/>
      </c>
      <c r="D47" s="124" t="str">
        <f ca="1">IF(ROWS($1:34)&gt;COUNT(Dong3),"",IF(LEFT((OFFSET(TH!D$1,SMALL(Dong3,ROWS($1:34)),)),1)&lt;&gt;"X","",(OFFSET(TH!D$1,SMALL(Dong3,ROWS($1:34)),)&amp;"/"&amp;OFFSET(TH!C$1,SMALL(Dong3,ROWS($1:34)),))))</f>
        <v/>
      </c>
      <c r="E47" s="125" t="str">
        <f ca="1">IF(ROWS($1:34)&gt;COUNT(Dong3),"",OFFSET(TH!F$1,SMALL(Dong3,ROWS($1:34)),))</f>
        <v/>
      </c>
      <c r="F47" s="124" t="str">
        <f t="shared" ca="1" si="4"/>
        <v/>
      </c>
      <c r="G47" s="126">
        <f ca="1">IF(ROWS($1:34)&gt;COUNT(Dong3),0,IF(OFFSET(TH!K$1,SMALL(Dong3,ROWS($1:34)),)&lt;&gt;0,OFFSET(TH!K$1,SMALL(Dong3,ROWS($1:34)),),0))</f>
        <v>0</v>
      </c>
      <c r="H47" s="126">
        <f ca="1">IF(ROWS($1:34)&gt;COUNT(Dong3),0,IF(OFFSET(TH!M$1,SMALL(Dong3,ROWS($1:34)),)&lt;&gt;0,OFFSET(TH!M$1,SMALL(Dong3,ROWS($1:34)),),0))</f>
        <v>0</v>
      </c>
      <c r="I47" s="127">
        <f t="shared" ca="1" si="5"/>
        <v>0</v>
      </c>
      <c r="J47" s="128"/>
      <c r="K47" s="213"/>
    </row>
    <row r="48" spans="1:11" ht="16.5" customHeight="1">
      <c r="A48" s="129" t="str">
        <f t="shared" ca="1" si="3"/>
        <v/>
      </c>
      <c r="B48" s="124" t="str">
        <f ca="1">IF(ROWS($1:35)&gt;COUNT(Dong3),"",OFFSET(TH!E$1,SMALL(Dong3,ROWS($1:35)),))</f>
        <v/>
      </c>
      <c r="C48" s="124" t="str">
        <f ca="1">IF(ROWS($1:35)&gt;COUNT(Dong3),"",IF(LEFT((OFFSET(TH!D$1,SMALL(Dong3,ROWS($1:35)),)),1)&lt;&gt;"N","",(OFFSET(TH!D$1,SMALL(Dong3,ROWS($1:35)),)&amp;"/"&amp;OFFSET(TH!C$1,SMALL(Dong3,ROWS($1:35)),))))</f>
        <v/>
      </c>
      <c r="D48" s="124" t="str">
        <f ca="1">IF(ROWS($1:35)&gt;COUNT(Dong3),"",IF(LEFT((OFFSET(TH!D$1,SMALL(Dong3,ROWS($1:35)),)),1)&lt;&gt;"X","",(OFFSET(TH!D$1,SMALL(Dong3,ROWS($1:35)),)&amp;"/"&amp;OFFSET(TH!C$1,SMALL(Dong3,ROWS($1:35)),))))</f>
        <v/>
      </c>
      <c r="E48" s="125" t="str">
        <f ca="1">IF(ROWS($1:35)&gt;COUNT(Dong3),"",OFFSET(TH!F$1,SMALL(Dong3,ROWS($1:35)),))</f>
        <v/>
      </c>
      <c r="F48" s="124" t="str">
        <f t="shared" ca="1" si="4"/>
        <v/>
      </c>
      <c r="G48" s="126">
        <f ca="1">IF(ROWS($1:35)&gt;COUNT(Dong3),0,IF(OFFSET(TH!K$1,SMALL(Dong3,ROWS($1:35)),)&lt;&gt;0,OFFSET(TH!K$1,SMALL(Dong3,ROWS($1:35)),),0))</f>
        <v>0</v>
      </c>
      <c r="H48" s="126">
        <f ca="1">IF(ROWS($1:35)&gt;COUNT(Dong3),0,IF(OFFSET(TH!M$1,SMALL(Dong3,ROWS($1:35)),)&lt;&gt;0,OFFSET(TH!M$1,SMALL(Dong3,ROWS($1:35)),),0))</f>
        <v>0</v>
      </c>
      <c r="I48" s="127">
        <f t="shared" ca="1" si="5"/>
        <v>0</v>
      </c>
      <c r="J48" s="128"/>
      <c r="K48" s="213"/>
    </row>
    <row r="49" spans="1:11" ht="16.5" customHeight="1">
      <c r="A49" s="129" t="str">
        <f t="shared" ca="1" si="3"/>
        <v/>
      </c>
      <c r="B49" s="124" t="str">
        <f ca="1">IF(ROWS($1:36)&gt;COUNT(Dong3),"",OFFSET(TH!E$1,SMALL(Dong3,ROWS($1:36)),))</f>
        <v/>
      </c>
      <c r="C49" s="124" t="str">
        <f ca="1">IF(ROWS($1:36)&gt;COUNT(Dong3),"",IF(LEFT((OFFSET(TH!D$1,SMALL(Dong3,ROWS($1:36)),)),1)&lt;&gt;"N","",(OFFSET(TH!D$1,SMALL(Dong3,ROWS($1:36)),)&amp;"/"&amp;OFFSET(TH!C$1,SMALL(Dong3,ROWS($1:36)),))))</f>
        <v/>
      </c>
      <c r="D49" s="124" t="str">
        <f ca="1">IF(ROWS($1:36)&gt;COUNT(Dong3),"",IF(LEFT((OFFSET(TH!D$1,SMALL(Dong3,ROWS($1:36)),)),1)&lt;&gt;"X","",(OFFSET(TH!D$1,SMALL(Dong3,ROWS($1:36)),)&amp;"/"&amp;OFFSET(TH!C$1,SMALL(Dong3,ROWS($1:36)),))))</f>
        <v/>
      </c>
      <c r="E49" s="125" t="str">
        <f ca="1">IF(ROWS($1:36)&gt;COUNT(Dong3),"",OFFSET(TH!F$1,SMALL(Dong3,ROWS($1:36)),))</f>
        <v/>
      </c>
      <c r="F49" s="124" t="str">
        <f t="shared" ca="1" si="4"/>
        <v/>
      </c>
      <c r="G49" s="126">
        <f ca="1">IF(ROWS($1:36)&gt;COUNT(Dong3),0,IF(OFFSET(TH!K$1,SMALL(Dong3,ROWS($1:36)),)&lt;&gt;0,OFFSET(TH!K$1,SMALL(Dong3,ROWS($1:36)),),0))</f>
        <v>0</v>
      </c>
      <c r="H49" s="126">
        <f ca="1">IF(ROWS($1:36)&gt;COUNT(Dong3),0,IF(OFFSET(TH!M$1,SMALL(Dong3,ROWS($1:36)),)&lt;&gt;0,OFFSET(TH!M$1,SMALL(Dong3,ROWS($1:36)),),0))</f>
        <v>0</v>
      </c>
      <c r="I49" s="127">
        <f t="shared" ca="1" si="5"/>
        <v>0</v>
      </c>
      <c r="J49" s="128"/>
      <c r="K49" s="213"/>
    </row>
    <row r="50" spans="1:11" ht="16.5" customHeight="1">
      <c r="A50" s="129" t="str">
        <f t="shared" ca="1" si="3"/>
        <v/>
      </c>
      <c r="B50" s="124" t="str">
        <f ca="1">IF(ROWS($1:37)&gt;COUNT(Dong3),"",OFFSET(TH!E$1,SMALL(Dong3,ROWS($1:37)),))</f>
        <v/>
      </c>
      <c r="C50" s="124" t="str">
        <f ca="1">IF(ROWS($1:37)&gt;COUNT(Dong3),"",IF(LEFT((OFFSET(TH!D$1,SMALL(Dong3,ROWS($1:37)),)),1)&lt;&gt;"N","",(OFFSET(TH!D$1,SMALL(Dong3,ROWS($1:37)),)&amp;"/"&amp;OFFSET(TH!C$1,SMALL(Dong3,ROWS($1:37)),))))</f>
        <v/>
      </c>
      <c r="D50" s="124" t="str">
        <f ca="1">IF(ROWS($1:37)&gt;COUNT(Dong3),"",IF(LEFT((OFFSET(TH!D$1,SMALL(Dong3,ROWS($1:37)),)),1)&lt;&gt;"X","",(OFFSET(TH!D$1,SMALL(Dong3,ROWS($1:37)),)&amp;"/"&amp;OFFSET(TH!C$1,SMALL(Dong3,ROWS($1:37)),))))</f>
        <v/>
      </c>
      <c r="E50" s="125" t="str">
        <f ca="1">IF(ROWS($1:37)&gt;COUNT(Dong3),"",OFFSET(TH!F$1,SMALL(Dong3,ROWS($1:37)),))</f>
        <v/>
      </c>
      <c r="F50" s="124" t="str">
        <f t="shared" ca="1" si="4"/>
        <v/>
      </c>
      <c r="G50" s="126">
        <f ca="1">IF(ROWS($1:37)&gt;COUNT(Dong3),0,IF(OFFSET(TH!K$1,SMALL(Dong3,ROWS($1:37)),)&lt;&gt;0,OFFSET(TH!K$1,SMALL(Dong3,ROWS($1:37)),),0))</f>
        <v>0</v>
      </c>
      <c r="H50" s="126">
        <f ca="1">IF(ROWS($1:37)&gt;COUNT(Dong3),0,IF(OFFSET(TH!M$1,SMALL(Dong3,ROWS($1:37)),)&lt;&gt;0,OFFSET(TH!M$1,SMALL(Dong3,ROWS($1:37)),),0))</f>
        <v>0</v>
      </c>
      <c r="I50" s="127">
        <f t="shared" ca="1" si="5"/>
        <v>0</v>
      </c>
      <c r="J50" s="128"/>
      <c r="K50" s="213"/>
    </row>
    <row r="51" spans="1:11" ht="16.5" customHeight="1">
      <c r="A51" s="129" t="str">
        <f t="shared" ca="1" si="3"/>
        <v/>
      </c>
      <c r="B51" s="124" t="str">
        <f ca="1">IF(ROWS($1:38)&gt;COUNT(Dong3),"",OFFSET(TH!E$1,SMALL(Dong3,ROWS($1:38)),))</f>
        <v/>
      </c>
      <c r="C51" s="124" t="str">
        <f ca="1">IF(ROWS($1:38)&gt;COUNT(Dong3),"",IF(LEFT((OFFSET(TH!D$1,SMALL(Dong3,ROWS($1:38)),)),1)&lt;&gt;"N","",(OFFSET(TH!D$1,SMALL(Dong3,ROWS($1:38)),)&amp;"/"&amp;OFFSET(TH!C$1,SMALL(Dong3,ROWS($1:38)),))))</f>
        <v/>
      </c>
      <c r="D51" s="124" t="str">
        <f ca="1">IF(ROWS($1:38)&gt;COUNT(Dong3),"",IF(LEFT((OFFSET(TH!D$1,SMALL(Dong3,ROWS($1:38)),)),1)&lt;&gt;"X","",(OFFSET(TH!D$1,SMALL(Dong3,ROWS($1:38)),)&amp;"/"&amp;OFFSET(TH!C$1,SMALL(Dong3,ROWS($1:38)),))))</f>
        <v/>
      </c>
      <c r="E51" s="125" t="str">
        <f ca="1">IF(ROWS($1:38)&gt;COUNT(Dong3),"",OFFSET(TH!F$1,SMALL(Dong3,ROWS($1:38)),))</f>
        <v/>
      </c>
      <c r="F51" s="124" t="str">
        <f t="shared" ca="1" si="4"/>
        <v/>
      </c>
      <c r="G51" s="126">
        <f ca="1">IF(ROWS($1:38)&gt;COUNT(Dong3),0,IF(OFFSET(TH!K$1,SMALL(Dong3,ROWS($1:38)),)&lt;&gt;0,OFFSET(TH!K$1,SMALL(Dong3,ROWS($1:38)),),0))</f>
        <v>0</v>
      </c>
      <c r="H51" s="126">
        <f ca="1">IF(ROWS($1:38)&gt;COUNT(Dong3),0,IF(OFFSET(TH!M$1,SMALL(Dong3,ROWS($1:38)),)&lt;&gt;0,OFFSET(TH!M$1,SMALL(Dong3,ROWS($1:38)),),0))</f>
        <v>0</v>
      </c>
      <c r="I51" s="127">
        <f t="shared" ca="1" si="5"/>
        <v>0</v>
      </c>
      <c r="J51" s="128"/>
      <c r="K51" s="213"/>
    </row>
    <row r="52" spans="1:11" ht="16.5" customHeight="1">
      <c r="A52" s="129" t="str">
        <f t="shared" ca="1" si="3"/>
        <v/>
      </c>
      <c r="B52" s="124" t="str">
        <f ca="1">IF(ROWS($1:39)&gt;COUNT(Dong3),"",OFFSET(TH!E$1,SMALL(Dong3,ROWS($1:39)),))</f>
        <v/>
      </c>
      <c r="C52" s="124" t="str">
        <f ca="1">IF(ROWS($1:39)&gt;COUNT(Dong3),"",IF(LEFT((OFFSET(TH!D$1,SMALL(Dong3,ROWS($1:39)),)),1)&lt;&gt;"N","",(OFFSET(TH!D$1,SMALL(Dong3,ROWS($1:39)),)&amp;"/"&amp;OFFSET(TH!C$1,SMALL(Dong3,ROWS($1:39)),))))</f>
        <v/>
      </c>
      <c r="D52" s="124" t="str">
        <f ca="1">IF(ROWS($1:39)&gt;COUNT(Dong3),"",IF(LEFT((OFFSET(TH!D$1,SMALL(Dong3,ROWS($1:39)),)),1)&lt;&gt;"X","",(OFFSET(TH!D$1,SMALL(Dong3,ROWS($1:39)),)&amp;"/"&amp;OFFSET(TH!C$1,SMALL(Dong3,ROWS($1:39)),))))</f>
        <v/>
      </c>
      <c r="E52" s="125" t="str">
        <f ca="1">IF(ROWS($1:39)&gt;COUNT(Dong3),"",OFFSET(TH!F$1,SMALL(Dong3,ROWS($1:39)),))</f>
        <v/>
      </c>
      <c r="F52" s="124" t="str">
        <f t="shared" ca="1" si="4"/>
        <v/>
      </c>
      <c r="G52" s="126">
        <f ca="1">IF(ROWS($1:39)&gt;COUNT(Dong3),0,IF(OFFSET(TH!K$1,SMALL(Dong3,ROWS($1:39)),)&lt;&gt;0,OFFSET(TH!K$1,SMALL(Dong3,ROWS($1:39)),),0))</f>
        <v>0</v>
      </c>
      <c r="H52" s="126">
        <f ca="1">IF(ROWS($1:39)&gt;COUNT(Dong3),0,IF(OFFSET(TH!M$1,SMALL(Dong3,ROWS($1:39)),)&lt;&gt;0,OFFSET(TH!M$1,SMALL(Dong3,ROWS($1:39)),),0))</f>
        <v>0</v>
      </c>
      <c r="I52" s="127">
        <f t="shared" ca="1" si="5"/>
        <v>0</v>
      </c>
      <c r="J52" s="128"/>
      <c r="K52" s="213"/>
    </row>
    <row r="53" spans="1:11" ht="16.5" customHeight="1">
      <c r="A53" s="129" t="str">
        <f t="shared" ca="1" si="3"/>
        <v/>
      </c>
      <c r="B53" s="124" t="str">
        <f ca="1">IF(ROWS($1:40)&gt;COUNT(Dong3),"",OFFSET(TH!E$1,SMALL(Dong3,ROWS($1:40)),))</f>
        <v/>
      </c>
      <c r="C53" s="124" t="str">
        <f ca="1">IF(ROWS($1:40)&gt;COUNT(Dong3),"",IF(LEFT((OFFSET(TH!D$1,SMALL(Dong3,ROWS($1:40)),)),1)&lt;&gt;"N","",(OFFSET(TH!D$1,SMALL(Dong3,ROWS($1:40)),)&amp;"/"&amp;OFFSET(TH!C$1,SMALL(Dong3,ROWS($1:40)),))))</f>
        <v/>
      </c>
      <c r="D53" s="124" t="str">
        <f ca="1">IF(ROWS($1:40)&gt;COUNT(Dong3),"",IF(LEFT((OFFSET(TH!D$1,SMALL(Dong3,ROWS($1:40)),)),1)&lt;&gt;"X","",(OFFSET(TH!D$1,SMALL(Dong3,ROWS($1:40)),)&amp;"/"&amp;OFFSET(TH!C$1,SMALL(Dong3,ROWS($1:40)),))))</f>
        <v/>
      </c>
      <c r="E53" s="125" t="str">
        <f ca="1">IF(ROWS($1:40)&gt;COUNT(Dong3),"",OFFSET(TH!F$1,SMALL(Dong3,ROWS($1:40)),))</f>
        <v/>
      </c>
      <c r="F53" s="124" t="str">
        <f t="shared" ca="1" si="4"/>
        <v/>
      </c>
      <c r="G53" s="126">
        <f ca="1">IF(ROWS($1:40)&gt;COUNT(Dong3),0,IF(OFFSET(TH!K$1,SMALL(Dong3,ROWS($1:40)),)&lt;&gt;0,OFFSET(TH!K$1,SMALL(Dong3,ROWS($1:40)),),0))</f>
        <v>0</v>
      </c>
      <c r="H53" s="126">
        <f ca="1">IF(ROWS($1:40)&gt;COUNT(Dong3),0,IF(OFFSET(TH!M$1,SMALL(Dong3,ROWS($1:40)),)&lt;&gt;0,OFFSET(TH!M$1,SMALL(Dong3,ROWS($1:40)),),0))</f>
        <v>0</v>
      </c>
      <c r="I53" s="127">
        <f t="shared" ca="1" si="5"/>
        <v>0</v>
      </c>
      <c r="J53" s="128"/>
      <c r="K53" s="213"/>
    </row>
    <row r="54" spans="1:11" ht="16.5" customHeight="1">
      <c r="A54" s="129" t="str">
        <f t="shared" ca="1" si="3"/>
        <v/>
      </c>
      <c r="B54" s="124" t="str">
        <f ca="1">IF(ROWS($1:41)&gt;COUNT(Dong3),"",OFFSET(TH!E$1,SMALL(Dong3,ROWS($1:41)),))</f>
        <v/>
      </c>
      <c r="C54" s="124" t="str">
        <f ca="1">IF(ROWS($1:41)&gt;COUNT(Dong3),"",IF(LEFT((OFFSET(TH!D$1,SMALL(Dong3,ROWS($1:41)),)),1)&lt;&gt;"N","",(OFFSET(TH!D$1,SMALL(Dong3,ROWS($1:41)),)&amp;"/"&amp;OFFSET(TH!C$1,SMALL(Dong3,ROWS($1:41)),))))</f>
        <v/>
      </c>
      <c r="D54" s="124" t="str">
        <f ca="1">IF(ROWS($1:41)&gt;COUNT(Dong3),"",IF(LEFT((OFFSET(TH!D$1,SMALL(Dong3,ROWS($1:41)),)),1)&lt;&gt;"X","",(OFFSET(TH!D$1,SMALL(Dong3,ROWS($1:41)),)&amp;"/"&amp;OFFSET(TH!C$1,SMALL(Dong3,ROWS($1:41)),))))</f>
        <v/>
      </c>
      <c r="E54" s="125" t="str">
        <f ca="1">IF(ROWS($1:41)&gt;COUNT(Dong3),"",OFFSET(TH!F$1,SMALL(Dong3,ROWS($1:41)),))</f>
        <v/>
      </c>
      <c r="F54" s="124" t="str">
        <f t="shared" ca="1" si="4"/>
        <v/>
      </c>
      <c r="G54" s="126">
        <f ca="1">IF(ROWS($1:41)&gt;COUNT(Dong3),0,IF(OFFSET(TH!K$1,SMALL(Dong3,ROWS($1:41)),)&lt;&gt;0,OFFSET(TH!K$1,SMALL(Dong3,ROWS($1:41)),),0))</f>
        <v>0</v>
      </c>
      <c r="H54" s="126">
        <f ca="1">IF(ROWS($1:41)&gt;COUNT(Dong3),0,IF(OFFSET(TH!M$1,SMALL(Dong3,ROWS($1:41)),)&lt;&gt;0,OFFSET(TH!M$1,SMALL(Dong3,ROWS($1:41)),),0))</f>
        <v>0</v>
      </c>
      <c r="I54" s="127">
        <f t="shared" ca="1" si="5"/>
        <v>0</v>
      </c>
      <c r="J54" s="128"/>
      <c r="K54" s="213"/>
    </row>
    <row r="55" spans="1:11" ht="16.5" customHeight="1">
      <c r="A55" s="129" t="str">
        <f t="shared" ca="1" si="3"/>
        <v/>
      </c>
      <c r="B55" s="124" t="str">
        <f ca="1">IF(ROWS($1:42)&gt;COUNT(Dong3),"",OFFSET(TH!E$1,SMALL(Dong3,ROWS($1:42)),))</f>
        <v/>
      </c>
      <c r="C55" s="124" t="str">
        <f ca="1">IF(ROWS($1:42)&gt;COUNT(Dong3),"",IF(LEFT((OFFSET(TH!D$1,SMALL(Dong3,ROWS($1:42)),)),1)&lt;&gt;"N","",(OFFSET(TH!D$1,SMALL(Dong3,ROWS($1:42)),)&amp;"/"&amp;OFFSET(TH!C$1,SMALL(Dong3,ROWS($1:42)),))))</f>
        <v/>
      </c>
      <c r="D55" s="124" t="str">
        <f ca="1">IF(ROWS($1:42)&gt;COUNT(Dong3),"",IF(LEFT((OFFSET(TH!D$1,SMALL(Dong3,ROWS($1:42)),)),1)&lt;&gt;"X","",(OFFSET(TH!D$1,SMALL(Dong3,ROWS($1:42)),)&amp;"/"&amp;OFFSET(TH!C$1,SMALL(Dong3,ROWS($1:42)),))))</f>
        <v/>
      </c>
      <c r="E55" s="125" t="str">
        <f ca="1">IF(ROWS($1:42)&gt;COUNT(Dong3),"",OFFSET(TH!F$1,SMALL(Dong3,ROWS($1:42)),))</f>
        <v/>
      </c>
      <c r="F55" s="124" t="str">
        <f t="shared" ca="1" si="4"/>
        <v/>
      </c>
      <c r="G55" s="126">
        <f ca="1">IF(ROWS($1:42)&gt;COUNT(Dong3),0,IF(OFFSET(TH!K$1,SMALL(Dong3,ROWS($1:42)),)&lt;&gt;0,OFFSET(TH!K$1,SMALL(Dong3,ROWS($1:42)),),0))</f>
        <v>0</v>
      </c>
      <c r="H55" s="126">
        <f ca="1">IF(ROWS($1:42)&gt;COUNT(Dong3),0,IF(OFFSET(TH!M$1,SMALL(Dong3,ROWS($1:42)),)&lt;&gt;0,OFFSET(TH!M$1,SMALL(Dong3,ROWS($1:42)),),0))</f>
        <v>0</v>
      </c>
      <c r="I55" s="127">
        <f t="shared" ca="1" si="5"/>
        <v>0</v>
      </c>
      <c r="J55" s="128"/>
      <c r="K55" s="213"/>
    </row>
    <row r="56" spans="1:11" ht="16.5" customHeight="1">
      <c r="A56" s="129" t="str">
        <f t="shared" ca="1" si="3"/>
        <v/>
      </c>
      <c r="B56" s="124" t="str">
        <f ca="1">IF(ROWS($1:43)&gt;COUNT(Dong3),"",OFFSET(TH!E$1,SMALL(Dong3,ROWS($1:43)),))</f>
        <v/>
      </c>
      <c r="C56" s="124" t="str">
        <f ca="1">IF(ROWS($1:43)&gt;COUNT(Dong3),"",IF(LEFT((OFFSET(TH!D$1,SMALL(Dong3,ROWS($1:43)),)),1)&lt;&gt;"N","",(OFFSET(TH!D$1,SMALL(Dong3,ROWS($1:43)),)&amp;"/"&amp;OFFSET(TH!C$1,SMALL(Dong3,ROWS($1:43)),))))</f>
        <v/>
      </c>
      <c r="D56" s="124" t="str">
        <f ca="1">IF(ROWS($1:43)&gt;COUNT(Dong3),"",IF(LEFT((OFFSET(TH!D$1,SMALL(Dong3,ROWS($1:43)),)),1)&lt;&gt;"X","",(OFFSET(TH!D$1,SMALL(Dong3,ROWS($1:43)),)&amp;"/"&amp;OFFSET(TH!C$1,SMALL(Dong3,ROWS($1:43)),))))</f>
        <v/>
      </c>
      <c r="E56" s="125" t="str">
        <f ca="1">IF(ROWS($1:43)&gt;COUNT(Dong3),"",OFFSET(TH!F$1,SMALL(Dong3,ROWS($1:43)),))</f>
        <v/>
      </c>
      <c r="F56" s="124" t="str">
        <f t="shared" ca="1" si="4"/>
        <v/>
      </c>
      <c r="G56" s="126">
        <f ca="1">IF(ROWS($1:43)&gt;COUNT(Dong3),0,IF(OFFSET(TH!K$1,SMALL(Dong3,ROWS($1:43)),)&lt;&gt;0,OFFSET(TH!K$1,SMALL(Dong3,ROWS($1:43)),),0))</f>
        <v>0</v>
      </c>
      <c r="H56" s="126">
        <f ca="1">IF(ROWS($1:43)&gt;COUNT(Dong3),0,IF(OFFSET(TH!M$1,SMALL(Dong3,ROWS($1:43)),)&lt;&gt;0,OFFSET(TH!M$1,SMALL(Dong3,ROWS($1:43)),),0))</f>
        <v>0</v>
      </c>
      <c r="I56" s="127">
        <f t="shared" ca="1" si="5"/>
        <v>0</v>
      </c>
      <c r="J56" s="128"/>
      <c r="K56" s="213"/>
    </row>
    <row r="57" spans="1:11" ht="16.5" customHeight="1">
      <c r="A57" s="129" t="str">
        <f t="shared" ca="1" si="3"/>
        <v/>
      </c>
      <c r="B57" s="124" t="str">
        <f ca="1">IF(ROWS($1:44)&gt;COUNT(Dong3),"",OFFSET(TH!E$1,SMALL(Dong3,ROWS($1:44)),))</f>
        <v/>
      </c>
      <c r="C57" s="124" t="str">
        <f ca="1">IF(ROWS($1:44)&gt;COUNT(Dong3),"",IF(LEFT((OFFSET(TH!D$1,SMALL(Dong3,ROWS($1:44)),)),1)&lt;&gt;"N","",(OFFSET(TH!D$1,SMALL(Dong3,ROWS($1:44)),)&amp;"/"&amp;OFFSET(TH!C$1,SMALL(Dong3,ROWS($1:44)),))))</f>
        <v/>
      </c>
      <c r="D57" s="124" t="str">
        <f ca="1">IF(ROWS($1:44)&gt;COUNT(Dong3),"",IF(LEFT((OFFSET(TH!D$1,SMALL(Dong3,ROWS($1:44)),)),1)&lt;&gt;"X","",(OFFSET(TH!D$1,SMALL(Dong3,ROWS($1:44)),)&amp;"/"&amp;OFFSET(TH!C$1,SMALL(Dong3,ROWS($1:44)),))))</f>
        <v/>
      </c>
      <c r="E57" s="125" t="str">
        <f ca="1">IF(ROWS($1:44)&gt;COUNT(Dong3),"",OFFSET(TH!F$1,SMALL(Dong3,ROWS($1:44)),))</f>
        <v/>
      </c>
      <c r="F57" s="124" t="str">
        <f t="shared" ca="1" si="4"/>
        <v/>
      </c>
      <c r="G57" s="126">
        <f ca="1">IF(ROWS($1:44)&gt;COUNT(Dong3),0,IF(OFFSET(TH!K$1,SMALL(Dong3,ROWS($1:44)),)&lt;&gt;0,OFFSET(TH!K$1,SMALL(Dong3,ROWS($1:44)),),0))</f>
        <v>0</v>
      </c>
      <c r="H57" s="126">
        <f ca="1">IF(ROWS($1:44)&gt;COUNT(Dong3),0,IF(OFFSET(TH!M$1,SMALL(Dong3,ROWS($1:44)),)&lt;&gt;0,OFFSET(TH!M$1,SMALL(Dong3,ROWS($1:44)),),0))</f>
        <v>0</v>
      </c>
      <c r="I57" s="127">
        <f t="shared" ca="1" si="5"/>
        <v>0</v>
      </c>
      <c r="J57" s="128"/>
      <c r="K57" s="213"/>
    </row>
    <row r="58" spans="1:11" ht="16.5" customHeight="1">
      <c r="A58" s="129" t="str">
        <f t="shared" ca="1" si="3"/>
        <v/>
      </c>
      <c r="B58" s="226" t="str">
        <f ca="1">IF(ROWS($1:45)&gt;COUNT(Dong3),"",OFFSET(TH!E$1,SMALL(Dong3,ROWS($1:45)),))</f>
        <v/>
      </c>
      <c r="C58" s="226" t="str">
        <f ca="1">IF(ROWS($1:45)&gt;COUNT(Dong3),"",IF(LEFT((OFFSET(TH!D$1,SMALL(Dong3,ROWS($1:45)),)),1)&lt;&gt;"N","",(OFFSET(TH!D$1,SMALL(Dong3,ROWS($1:45)),)&amp;"/"&amp;OFFSET(TH!C$1,SMALL(Dong3,ROWS($1:45)),))))</f>
        <v/>
      </c>
      <c r="D58" s="226" t="str">
        <f ca="1">IF(ROWS($1:45)&gt;COUNT(Dong3),"",IF(LEFT((OFFSET(TH!D$1,SMALL(Dong3,ROWS($1:45)),)),1)&lt;&gt;"X","",(OFFSET(TH!D$1,SMALL(Dong3,ROWS($1:45)),)&amp;"/"&amp;OFFSET(TH!C$1,SMALL(Dong3,ROWS($1:45)),))))</f>
        <v/>
      </c>
      <c r="E58" s="227" t="str">
        <f ca="1">IF(ROWS($1:45)&gt;COUNT(Dong3),"",OFFSET(TH!F$1,SMALL(Dong3,ROWS($1:45)),))</f>
        <v/>
      </c>
      <c r="F58" s="226" t="str">
        <f t="shared" ca="1" si="4"/>
        <v/>
      </c>
      <c r="G58" s="228">
        <f ca="1">IF(ROWS($1:45)&gt;COUNT(Dong3),0,IF(OFFSET(TH!K$1,SMALL(Dong3,ROWS($1:45)),)&lt;&gt;0,OFFSET(TH!K$1,SMALL(Dong3,ROWS($1:45)),),0))</f>
        <v>0</v>
      </c>
      <c r="H58" s="228">
        <f ca="1">IF(ROWS($1:45)&gt;COUNT(Dong3),0,IF(OFFSET(TH!M$1,SMALL(Dong3,ROWS($1:45)),)&lt;&gt;0,OFFSET(TH!M$1,SMALL(Dong3,ROWS($1:45)),),0))</f>
        <v>0</v>
      </c>
      <c r="I58" s="127">
        <f t="shared" ca="1" si="5"/>
        <v>0</v>
      </c>
      <c r="J58" s="130"/>
      <c r="K58" s="213"/>
    </row>
    <row r="59" spans="1:11" ht="16.5" customHeight="1">
      <c r="A59" s="129" t="str">
        <f t="shared" ca="1" si="3"/>
        <v/>
      </c>
      <c r="B59" s="226" t="str">
        <f ca="1">IF(ROWS($1:46)&gt;COUNT(Dong3),"",OFFSET(TH!E$1,SMALL(Dong3,ROWS($1:46)),))</f>
        <v/>
      </c>
      <c r="C59" s="226" t="str">
        <f ca="1">IF(ROWS($1:46)&gt;COUNT(Dong3),"",IF(LEFT((OFFSET(TH!D$1,SMALL(Dong3,ROWS($1:46)),)),1)&lt;&gt;"N","",(OFFSET(TH!D$1,SMALL(Dong3,ROWS($1:46)),)&amp;"/"&amp;OFFSET(TH!C$1,SMALL(Dong3,ROWS($1:46)),))))</f>
        <v/>
      </c>
      <c r="D59" s="226" t="str">
        <f ca="1">IF(ROWS($1:46)&gt;COUNT(Dong3),"",IF(LEFT((OFFSET(TH!D$1,SMALL(Dong3,ROWS($1:46)),)),1)&lt;&gt;"X","",(OFFSET(TH!D$1,SMALL(Dong3,ROWS($1:46)),)&amp;"/"&amp;OFFSET(TH!C$1,SMALL(Dong3,ROWS($1:46)),))))</f>
        <v/>
      </c>
      <c r="E59" s="227" t="str">
        <f ca="1">IF(ROWS($1:46)&gt;COUNT(Dong3),"",OFFSET(TH!F$1,SMALL(Dong3,ROWS($1:46)),))</f>
        <v/>
      </c>
      <c r="F59" s="226" t="str">
        <f t="shared" ca="1" si="4"/>
        <v/>
      </c>
      <c r="G59" s="228">
        <f ca="1">IF(ROWS($1:46)&gt;COUNT(Dong3),0,IF(OFFSET(TH!K$1,SMALL(Dong3,ROWS($1:46)),)&lt;&gt;0,OFFSET(TH!K$1,SMALL(Dong3,ROWS($1:46)),),0))</f>
        <v>0</v>
      </c>
      <c r="H59" s="228">
        <f ca="1">IF(ROWS($1:46)&gt;COUNT(Dong3),0,IF(OFFSET(TH!M$1,SMALL(Dong3,ROWS($1:46)),)&lt;&gt;0,OFFSET(TH!M$1,SMALL(Dong3,ROWS($1:46)),),0))</f>
        <v>0</v>
      </c>
      <c r="I59" s="127">
        <f t="shared" ca="1" si="5"/>
        <v>0</v>
      </c>
      <c r="J59" s="130"/>
      <c r="K59" s="213"/>
    </row>
    <row r="60" spans="1:11" ht="16.5" customHeight="1">
      <c r="A60" s="129" t="str">
        <f t="shared" ref="A60:A123" ca="1" si="6">IF(B60&lt;&gt;"",A59+1,"")</f>
        <v/>
      </c>
      <c r="B60" s="226" t="str">
        <f ca="1">IF(ROWS($1:47)&gt;COUNT(Dong3),"",OFFSET(TH!E$1,SMALL(Dong3,ROWS($1:47)),))</f>
        <v/>
      </c>
      <c r="C60" s="226" t="str">
        <f ca="1">IF(ROWS($1:47)&gt;COUNT(Dong3),"",IF(LEFT((OFFSET(TH!D$1,SMALL(Dong3,ROWS($1:47)),)),1)&lt;&gt;"N","",(OFFSET(TH!D$1,SMALL(Dong3,ROWS($1:47)),)&amp;"/"&amp;OFFSET(TH!C$1,SMALL(Dong3,ROWS($1:47)),))))</f>
        <v/>
      </c>
      <c r="D60" s="226" t="str">
        <f ca="1">IF(ROWS($1:47)&gt;COUNT(Dong3),"",IF(LEFT((OFFSET(TH!D$1,SMALL(Dong3,ROWS($1:47)),)),1)&lt;&gt;"X","",(OFFSET(TH!D$1,SMALL(Dong3,ROWS($1:47)),)&amp;"/"&amp;OFFSET(TH!C$1,SMALL(Dong3,ROWS($1:47)),))))</f>
        <v/>
      </c>
      <c r="E60" s="227" t="str">
        <f ca="1">IF(ROWS($1:47)&gt;COUNT(Dong3),"",OFFSET(TH!F$1,SMALL(Dong3,ROWS($1:47)),))</f>
        <v/>
      </c>
      <c r="F60" s="226" t="str">
        <f t="shared" ref="F60:F123" ca="1" si="7">B60</f>
        <v/>
      </c>
      <c r="G60" s="228">
        <f ca="1">IF(ROWS($1:47)&gt;COUNT(Dong3),0,IF(OFFSET(TH!K$1,SMALL(Dong3,ROWS($1:47)),)&lt;&gt;0,OFFSET(TH!K$1,SMALL(Dong3,ROWS($1:47)),),0))</f>
        <v>0</v>
      </c>
      <c r="H60" s="228">
        <f ca="1">IF(ROWS($1:47)&gt;COUNT(Dong3),0,IF(OFFSET(TH!M$1,SMALL(Dong3,ROWS($1:47)),)&lt;&gt;0,OFFSET(TH!M$1,SMALL(Dong3,ROWS($1:47)),),0))</f>
        <v>0</v>
      </c>
      <c r="I60" s="127">
        <f t="shared" ref="I60:I123" ca="1" si="8">IF(E60&lt;&gt;"",I59+G60-H60,0)</f>
        <v>0</v>
      </c>
      <c r="J60" s="130"/>
      <c r="K60" s="213"/>
    </row>
    <row r="61" spans="1:11" ht="16.5" customHeight="1">
      <c r="A61" s="129" t="str">
        <f t="shared" ca="1" si="6"/>
        <v/>
      </c>
      <c r="B61" s="226" t="str">
        <f ca="1">IF(ROWS($1:48)&gt;COUNT(Dong3),"",OFFSET(TH!E$1,SMALL(Dong3,ROWS($1:48)),))</f>
        <v/>
      </c>
      <c r="C61" s="226" t="str">
        <f ca="1">IF(ROWS($1:48)&gt;COUNT(Dong3),"",IF(LEFT((OFFSET(TH!D$1,SMALL(Dong3,ROWS($1:48)),)),1)&lt;&gt;"N","",(OFFSET(TH!D$1,SMALL(Dong3,ROWS($1:48)),)&amp;"/"&amp;OFFSET(TH!C$1,SMALL(Dong3,ROWS($1:48)),))))</f>
        <v/>
      </c>
      <c r="D61" s="226" t="str">
        <f ca="1">IF(ROWS($1:48)&gt;COUNT(Dong3),"",IF(LEFT((OFFSET(TH!D$1,SMALL(Dong3,ROWS($1:48)),)),1)&lt;&gt;"X","",(OFFSET(TH!D$1,SMALL(Dong3,ROWS($1:48)),)&amp;"/"&amp;OFFSET(TH!C$1,SMALL(Dong3,ROWS($1:48)),))))</f>
        <v/>
      </c>
      <c r="E61" s="227" t="str">
        <f ca="1">IF(ROWS($1:48)&gt;COUNT(Dong3),"",OFFSET(TH!F$1,SMALL(Dong3,ROWS($1:48)),))</f>
        <v/>
      </c>
      <c r="F61" s="226" t="str">
        <f t="shared" ca="1" si="7"/>
        <v/>
      </c>
      <c r="G61" s="228">
        <f ca="1">IF(ROWS($1:48)&gt;COUNT(Dong3),0,IF(OFFSET(TH!K$1,SMALL(Dong3,ROWS($1:48)),)&lt;&gt;0,OFFSET(TH!K$1,SMALL(Dong3,ROWS($1:48)),),0))</f>
        <v>0</v>
      </c>
      <c r="H61" s="228">
        <f ca="1">IF(ROWS($1:48)&gt;COUNT(Dong3),0,IF(OFFSET(TH!M$1,SMALL(Dong3,ROWS($1:48)),)&lt;&gt;0,OFFSET(TH!M$1,SMALL(Dong3,ROWS($1:48)),),0))</f>
        <v>0</v>
      </c>
      <c r="I61" s="127">
        <f t="shared" ca="1" si="8"/>
        <v>0</v>
      </c>
      <c r="J61" s="130"/>
      <c r="K61" s="213"/>
    </row>
    <row r="62" spans="1:11" ht="16.5" customHeight="1">
      <c r="A62" s="129" t="str">
        <f t="shared" ca="1" si="6"/>
        <v/>
      </c>
      <c r="B62" s="226" t="str">
        <f ca="1">IF(ROWS($1:49)&gt;COUNT(Dong3),"",OFFSET(TH!E$1,SMALL(Dong3,ROWS($1:49)),))</f>
        <v/>
      </c>
      <c r="C62" s="226" t="str">
        <f ca="1">IF(ROWS($1:49)&gt;COUNT(Dong3),"",IF(LEFT((OFFSET(TH!D$1,SMALL(Dong3,ROWS($1:49)),)),1)&lt;&gt;"N","",(OFFSET(TH!D$1,SMALL(Dong3,ROWS($1:49)),)&amp;"/"&amp;OFFSET(TH!C$1,SMALL(Dong3,ROWS($1:49)),))))</f>
        <v/>
      </c>
      <c r="D62" s="226" t="str">
        <f ca="1">IF(ROWS($1:49)&gt;COUNT(Dong3),"",IF(LEFT((OFFSET(TH!D$1,SMALL(Dong3,ROWS($1:49)),)),1)&lt;&gt;"X","",(OFFSET(TH!D$1,SMALL(Dong3,ROWS($1:49)),)&amp;"/"&amp;OFFSET(TH!C$1,SMALL(Dong3,ROWS($1:49)),))))</f>
        <v/>
      </c>
      <c r="E62" s="227" t="str">
        <f ca="1">IF(ROWS($1:49)&gt;COUNT(Dong3),"",OFFSET(TH!F$1,SMALL(Dong3,ROWS($1:49)),))</f>
        <v/>
      </c>
      <c r="F62" s="226" t="str">
        <f t="shared" ca="1" si="7"/>
        <v/>
      </c>
      <c r="G62" s="228">
        <f ca="1">IF(ROWS($1:49)&gt;COUNT(Dong3),0,IF(OFFSET(TH!K$1,SMALL(Dong3,ROWS($1:49)),)&lt;&gt;0,OFFSET(TH!K$1,SMALL(Dong3,ROWS($1:49)),),0))</f>
        <v>0</v>
      </c>
      <c r="H62" s="228">
        <f ca="1">IF(ROWS($1:49)&gt;COUNT(Dong3),0,IF(OFFSET(TH!M$1,SMALL(Dong3,ROWS($1:49)),)&lt;&gt;0,OFFSET(TH!M$1,SMALL(Dong3,ROWS($1:49)),),0))</f>
        <v>0</v>
      </c>
      <c r="I62" s="127">
        <f t="shared" ca="1" si="8"/>
        <v>0</v>
      </c>
      <c r="J62" s="130"/>
      <c r="K62" s="213"/>
    </row>
    <row r="63" spans="1:11" ht="16.5" customHeight="1">
      <c r="A63" s="129" t="str">
        <f t="shared" ca="1" si="6"/>
        <v/>
      </c>
      <c r="B63" s="226" t="str">
        <f ca="1">IF(ROWS($1:50)&gt;COUNT(Dong3),"",OFFSET(TH!E$1,SMALL(Dong3,ROWS($1:50)),))</f>
        <v/>
      </c>
      <c r="C63" s="226" t="str">
        <f ca="1">IF(ROWS($1:50)&gt;COUNT(Dong3),"",IF(LEFT((OFFSET(TH!D$1,SMALL(Dong3,ROWS($1:50)),)),1)&lt;&gt;"N","",(OFFSET(TH!D$1,SMALL(Dong3,ROWS($1:50)),)&amp;"/"&amp;OFFSET(TH!C$1,SMALL(Dong3,ROWS($1:50)),))))</f>
        <v/>
      </c>
      <c r="D63" s="226" t="str">
        <f ca="1">IF(ROWS($1:50)&gt;COUNT(Dong3),"",IF(LEFT((OFFSET(TH!D$1,SMALL(Dong3,ROWS($1:50)),)),1)&lt;&gt;"X","",(OFFSET(TH!D$1,SMALL(Dong3,ROWS($1:50)),)&amp;"/"&amp;OFFSET(TH!C$1,SMALL(Dong3,ROWS($1:50)),))))</f>
        <v/>
      </c>
      <c r="E63" s="227" t="str">
        <f ca="1">IF(ROWS($1:50)&gt;COUNT(Dong3),"",OFFSET(TH!F$1,SMALL(Dong3,ROWS($1:50)),))</f>
        <v/>
      </c>
      <c r="F63" s="226" t="str">
        <f t="shared" ca="1" si="7"/>
        <v/>
      </c>
      <c r="G63" s="228">
        <f ca="1">IF(ROWS($1:50)&gt;COUNT(Dong3),0,IF(OFFSET(TH!K$1,SMALL(Dong3,ROWS($1:50)),)&lt;&gt;0,OFFSET(TH!K$1,SMALL(Dong3,ROWS($1:50)),),0))</f>
        <v>0</v>
      </c>
      <c r="H63" s="228">
        <f ca="1">IF(ROWS($1:50)&gt;COUNT(Dong3),0,IF(OFFSET(TH!M$1,SMALL(Dong3,ROWS($1:50)),)&lt;&gt;0,OFFSET(TH!M$1,SMALL(Dong3,ROWS($1:50)),),0))</f>
        <v>0</v>
      </c>
      <c r="I63" s="127">
        <f t="shared" ca="1" si="8"/>
        <v>0</v>
      </c>
      <c r="J63" s="130"/>
      <c r="K63" s="213"/>
    </row>
    <row r="64" spans="1:11" ht="16.5" customHeight="1">
      <c r="A64" s="129" t="str">
        <f t="shared" ca="1" si="6"/>
        <v/>
      </c>
      <c r="B64" s="226" t="str">
        <f ca="1">IF(ROWS($1:51)&gt;COUNT(Dong3),"",OFFSET(TH!E$1,SMALL(Dong3,ROWS($1:51)),))</f>
        <v/>
      </c>
      <c r="C64" s="226" t="str">
        <f ca="1">IF(ROWS($1:51)&gt;COUNT(Dong3),"",IF(LEFT((OFFSET(TH!D$1,SMALL(Dong3,ROWS($1:51)),)),1)&lt;&gt;"N","",(OFFSET(TH!D$1,SMALL(Dong3,ROWS($1:51)),)&amp;"/"&amp;OFFSET(TH!C$1,SMALL(Dong3,ROWS($1:51)),))))</f>
        <v/>
      </c>
      <c r="D64" s="226" t="str">
        <f ca="1">IF(ROWS($1:51)&gt;COUNT(Dong3),"",IF(LEFT((OFFSET(TH!D$1,SMALL(Dong3,ROWS($1:51)),)),1)&lt;&gt;"X","",(OFFSET(TH!D$1,SMALL(Dong3,ROWS($1:51)),)&amp;"/"&amp;OFFSET(TH!C$1,SMALL(Dong3,ROWS($1:51)),))))</f>
        <v/>
      </c>
      <c r="E64" s="227" t="str">
        <f ca="1">IF(ROWS($1:51)&gt;COUNT(Dong3),"",OFFSET(TH!F$1,SMALL(Dong3,ROWS($1:51)),))</f>
        <v/>
      </c>
      <c r="F64" s="226" t="str">
        <f t="shared" ca="1" si="7"/>
        <v/>
      </c>
      <c r="G64" s="228">
        <f ca="1">IF(ROWS($1:51)&gt;COUNT(Dong3),0,IF(OFFSET(TH!K$1,SMALL(Dong3,ROWS($1:51)),)&lt;&gt;0,OFFSET(TH!K$1,SMALL(Dong3,ROWS($1:51)),),0))</f>
        <v>0</v>
      </c>
      <c r="H64" s="228">
        <f ca="1">IF(ROWS($1:51)&gt;COUNT(Dong3),0,IF(OFFSET(TH!M$1,SMALL(Dong3,ROWS($1:51)),)&lt;&gt;0,OFFSET(TH!M$1,SMALL(Dong3,ROWS($1:51)),),0))</f>
        <v>0</v>
      </c>
      <c r="I64" s="127">
        <f t="shared" ca="1" si="8"/>
        <v>0</v>
      </c>
      <c r="J64" s="130"/>
      <c r="K64" s="213"/>
    </row>
    <row r="65" spans="1:11" ht="16.5" customHeight="1">
      <c r="A65" s="129" t="str">
        <f t="shared" ca="1" si="6"/>
        <v/>
      </c>
      <c r="B65" s="226" t="str">
        <f ca="1">IF(ROWS($1:52)&gt;COUNT(Dong3),"",OFFSET(TH!E$1,SMALL(Dong3,ROWS($1:52)),))</f>
        <v/>
      </c>
      <c r="C65" s="226" t="str">
        <f ca="1">IF(ROWS($1:52)&gt;COUNT(Dong3),"",IF(LEFT((OFFSET(TH!D$1,SMALL(Dong3,ROWS($1:52)),)),1)&lt;&gt;"N","",(OFFSET(TH!D$1,SMALL(Dong3,ROWS($1:52)),)&amp;"/"&amp;OFFSET(TH!C$1,SMALL(Dong3,ROWS($1:52)),))))</f>
        <v/>
      </c>
      <c r="D65" s="226" t="str">
        <f ca="1">IF(ROWS($1:52)&gt;COUNT(Dong3),"",IF(LEFT((OFFSET(TH!D$1,SMALL(Dong3,ROWS($1:52)),)),1)&lt;&gt;"X","",(OFFSET(TH!D$1,SMALL(Dong3,ROWS($1:52)),)&amp;"/"&amp;OFFSET(TH!C$1,SMALL(Dong3,ROWS($1:52)),))))</f>
        <v/>
      </c>
      <c r="E65" s="227" t="str">
        <f ca="1">IF(ROWS($1:52)&gt;COUNT(Dong3),"",OFFSET(TH!F$1,SMALL(Dong3,ROWS($1:52)),))</f>
        <v/>
      </c>
      <c r="F65" s="226" t="str">
        <f t="shared" ca="1" si="7"/>
        <v/>
      </c>
      <c r="G65" s="228">
        <f ca="1">IF(ROWS($1:52)&gt;COUNT(Dong3),0,IF(OFFSET(TH!K$1,SMALL(Dong3,ROWS($1:52)),)&lt;&gt;0,OFFSET(TH!K$1,SMALL(Dong3,ROWS($1:52)),),0))</f>
        <v>0</v>
      </c>
      <c r="H65" s="228">
        <f ca="1">IF(ROWS($1:52)&gt;COUNT(Dong3),0,IF(OFFSET(TH!M$1,SMALL(Dong3,ROWS($1:52)),)&lt;&gt;0,OFFSET(TH!M$1,SMALL(Dong3,ROWS($1:52)),),0))</f>
        <v>0</v>
      </c>
      <c r="I65" s="127">
        <f t="shared" ca="1" si="8"/>
        <v>0</v>
      </c>
      <c r="J65" s="130"/>
      <c r="K65" s="213"/>
    </row>
    <row r="66" spans="1:11" ht="16.5" customHeight="1">
      <c r="A66" s="129" t="str">
        <f t="shared" ca="1" si="6"/>
        <v/>
      </c>
      <c r="B66" s="226" t="str">
        <f ca="1">IF(ROWS($1:53)&gt;COUNT(Dong3),"",OFFSET(TH!E$1,SMALL(Dong3,ROWS($1:53)),))</f>
        <v/>
      </c>
      <c r="C66" s="226" t="str">
        <f ca="1">IF(ROWS($1:53)&gt;COUNT(Dong3),"",IF(LEFT((OFFSET(TH!D$1,SMALL(Dong3,ROWS($1:53)),)),1)&lt;&gt;"N","",(OFFSET(TH!D$1,SMALL(Dong3,ROWS($1:53)),)&amp;"/"&amp;OFFSET(TH!C$1,SMALL(Dong3,ROWS($1:53)),))))</f>
        <v/>
      </c>
      <c r="D66" s="226" t="str">
        <f ca="1">IF(ROWS($1:53)&gt;COUNT(Dong3),"",IF(LEFT((OFFSET(TH!D$1,SMALL(Dong3,ROWS($1:53)),)),1)&lt;&gt;"X","",(OFFSET(TH!D$1,SMALL(Dong3,ROWS($1:53)),)&amp;"/"&amp;OFFSET(TH!C$1,SMALL(Dong3,ROWS($1:53)),))))</f>
        <v/>
      </c>
      <c r="E66" s="227" t="str">
        <f ca="1">IF(ROWS($1:53)&gt;COUNT(Dong3),"",OFFSET(TH!F$1,SMALL(Dong3,ROWS($1:53)),))</f>
        <v/>
      </c>
      <c r="F66" s="226" t="str">
        <f t="shared" ca="1" si="7"/>
        <v/>
      </c>
      <c r="G66" s="228">
        <f ca="1">IF(ROWS($1:53)&gt;COUNT(Dong3),0,IF(OFFSET(TH!K$1,SMALL(Dong3,ROWS($1:53)),)&lt;&gt;0,OFFSET(TH!K$1,SMALL(Dong3,ROWS($1:53)),),0))</f>
        <v>0</v>
      </c>
      <c r="H66" s="228">
        <f ca="1">IF(ROWS($1:53)&gt;COUNT(Dong3),0,IF(OFFSET(TH!M$1,SMALL(Dong3,ROWS($1:53)),)&lt;&gt;0,OFFSET(TH!M$1,SMALL(Dong3,ROWS($1:53)),),0))</f>
        <v>0</v>
      </c>
      <c r="I66" s="127">
        <f t="shared" ca="1" si="8"/>
        <v>0</v>
      </c>
      <c r="J66" s="130"/>
      <c r="K66" s="213"/>
    </row>
    <row r="67" spans="1:11" ht="16.5" customHeight="1">
      <c r="A67" s="129" t="str">
        <f t="shared" ca="1" si="6"/>
        <v/>
      </c>
      <c r="B67" s="226" t="str">
        <f ca="1">IF(ROWS($1:54)&gt;COUNT(Dong3),"",OFFSET(TH!E$1,SMALL(Dong3,ROWS($1:54)),))</f>
        <v/>
      </c>
      <c r="C67" s="226" t="str">
        <f ca="1">IF(ROWS($1:54)&gt;COUNT(Dong3),"",IF(LEFT((OFFSET(TH!D$1,SMALL(Dong3,ROWS($1:54)),)),1)&lt;&gt;"N","",(OFFSET(TH!D$1,SMALL(Dong3,ROWS($1:54)),)&amp;"/"&amp;OFFSET(TH!C$1,SMALL(Dong3,ROWS($1:54)),))))</f>
        <v/>
      </c>
      <c r="D67" s="226" t="str">
        <f ca="1">IF(ROWS($1:54)&gt;COUNT(Dong3),"",IF(LEFT((OFFSET(TH!D$1,SMALL(Dong3,ROWS($1:54)),)),1)&lt;&gt;"X","",(OFFSET(TH!D$1,SMALL(Dong3,ROWS($1:54)),)&amp;"/"&amp;OFFSET(TH!C$1,SMALL(Dong3,ROWS($1:54)),))))</f>
        <v/>
      </c>
      <c r="E67" s="227" t="str">
        <f ca="1">IF(ROWS($1:54)&gt;COUNT(Dong3),"",OFFSET(TH!F$1,SMALL(Dong3,ROWS($1:54)),))</f>
        <v/>
      </c>
      <c r="F67" s="226" t="str">
        <f t="shared" ca="1" si="7"/>
        <v/>
      </c>
      <c r="G67" s="228">
        <f ca="1">IF(ROWS($1:54)&gt;COUNT(Dong3),0,IF(OFFSET(TH!K$1,SMALL(Dong3,ROWS($1:54)),)&lt;&gt;0,OFFSET(TH!K$1,SMALL(Dong3,ROWS($1:54)),),0))</f>
        <v>0</v>
      </c>
      <c r="H67" s="228">
        <f ca="1">IF(ROWS($1:54)&gt;COUNT(Dong3),0,IF(OFFSET(TH!M$1,SMALL(Dong3,ROWS($1:54)),)&lt;&gt;0,OFFSET(TH!M$1,SMALL(Dong3,ROWS($1:54)),),0))</f>
        <v>0</v>
      </c>
      <c r="I67" s="127">
        <f t="shared" ca="1" si="8"/>
        <v>0</v>
      </c>
      <c r="J67" s="130"/>
      <c r="K67" s="213"/>
    </row>
    <row r="68" spans="1:11" ht="16.5" customHeight="1">
      <c r="A68" s="129" t="str">
        <f t="shared" ca="1" si="6"/>
        <v/>
      </c>
      <c r="B68" s="226" t="str">
        <f ca="1">IF(ROWS($1:55)&gt;COUNT(Dong3),"",OFFSET(TH!E$1,SMALL(Dong3,ROWS($1:55)),))</f>
        <v/>
      </c>
      <c r="C68" s="226" t="str">
        <f ca="1">IF(ROWS($1:55)&gt;COUNT(Dong3),"",IF(LEFT((OFFSET(TH!D$1,SMALL(Dong3,ROWS($1:55)),)),1)&lt;&gt;"N","",(OFFSET(TH!D$1,SMALL(Dong3,ROWS($1:55)),)&amp;"/"&amp;OFFSET(TH!C$1,SMALL(Dong3,ROWS($1:55)),))))</f>
        <v/>
      </c>
      <c r="D68" s="226" t="str">
        <f ca="1">IF(ROWS($1:55)&gt;COUNT(Dong3),"",IF(LEFT((OFFSET(TH!D$1,SMALL(Dong3,ROWS($1:55)),)),1)&lt;&gt;"X","",(OFFSET(TH!D$1,SMALL(Dong3,ROWS($1:55)),)&amp;"/"&amp;OFFSET(TH!C$1,SMALL(Dong3,ROWS($1:55)),))))</f>
        <v/>
      </c>
      <c r="E68" s="227" t="str">
        <f ca="1">IF(ROWS($1:55)&gt;COUNT(Dong3),"",OFFSET(TH!F$1,SMALL(Dong3,ROWS($1:55)),))</f>
        <v/>
      </c>
      <c r="F68" s="226" t="str">
        <f t="shared" ca="1" si="7"/>
        <v/>
      </c>
      <c r="G68" s="228">
        <f ca="1">IF(ROWS($1:55)&gt;COUNT(Dong3),0,IF(OFFSET(TH!K$1,SMALL(Dong3,ROWS($1:55)),)&lt;&gt;0,OFFSET(TH!K$1,SMALL(Dong3,ROWS($1:55)),),0))</f>
        <v>0</v>
      </c>
      <c r="H68" s="228">
        <f ca="1">IF(ROWS($1:55)&gt;COUNT(Dong3),0,IF(OFFSET(TH!M$1,SMALL(Dong3,ROWS($1:55)),)&lt;&gt;0,OFFSET(TH!M$1,SMALL(Dong3,ROWS($1:55)),),0))</f>
        <v>0</v>
      </c>
      <c r="I68" s="127">
        <f t="shared" ca="1" si="8"/>
        <v>0</v>
      </c>
      <c r="J68" s="130"/>
      <c r="K68" s="213"/>
    </row>
    <row r="69" spans="1:11" ht="16.5" customHeight="1">
      <c r="A69" s="129" t="str">
        <f t="shared" ca="1" si="6"/>
        <v/>
      </c>
      <c r="B69" s="226" t="str">
        <f ca="1">IF(ROWS($1:56)&gt;COUNT(Dong3),"",OFFSET(TH!E$1,SMALL(Dong3,ROWS($1:56)),))</f>
        <v/>
      </c>
      <c r="C69" s="226" t="str">
        <f ca="1">IF(ROWS($1:56)&gt;COUNT(Dong3),"",IF(LEFT((OFFSET(TH!D$1,SMALL(Dong3,ROWS($1:56)),)),1)&lt;&gt;"N","",(OFFSET(TH!D$1,SMALL(Dong3,ROWS($1:56)),)&amp;"/"&amp;OFFSET(TH!C$1,SMALL(Dong3,ROWS($1:56)),))))</f>
        <v/>
      </c>
      <c r="D69" s="226" t="str">
        <f ca="1">IF(ROWS($1:56)&gt;COUNT(Dong3),"",IF(LEFT((OFFSET(TH!D$1,SMALL(Dong3,ROWS($1:56)),)),1)&lt;&gt;"X","",(OFFSET(TH!D$1,SMALL(Dong3,ROWS($1:56)),)&amp;"/"&amp;OFFSET(TH!C$1,SMALL(Dong3,ROWS($1:56)),))))</f>
        <v/>
      </c>
      <c r="E69" s="227" t="str">
        <f ca="1">IF(ROWS($1:56)&gt;COUNT(Dong3),"",OFFSET(TH!F$1,SMALL(Dong3,ROWS($1:56)),))</f>
        <v/>
      </c>
      <c r="F69" s="226" t="str">
        <f t="shared" ca="1" si="7"/>
        <v/>
      </c>
      <c r="G69" s="228">
        <f ca="1">IF(ROWS($1:56)&gt;COUNT(Dong3),0,IF(OFFSET(TH!K$1,SMALL(Dong3,ROWS($1:56)),)&lt;&gt;0,OFFSET(TH!K$1,SMALL(Dong3,ROWS($1:56)),),0))</f>
        <v>0</v>
      </c>
      <c r="H69" s="228">
        <f ca="1">IF(ROWS($1:56)&gt;COUNT(Dong3),0,IF(OFFSET(TH!M$1,SMALL(Dong3,ROWS($1:56)),)&lt;&gt;0,OFFSET(TH!M$1,SMALL(Dong3,ROWS($1:56)),),0))</f>
        <v>0</v>
      </c>
      <c r="I69" s="127">
        <f t="shared" ca="1" si="8"/>
        <v>0</v>
      </c>
      <c r="J69" s="130"/>
      <c r="K69" s="213"/>
    </row>
    <row r="70" spans="1:11" ht="16.5" customHeight="1">
      <c r="A70" s="129" t="str">
        <f t="shared" ca="1" si="6"/>
        <v/>
      </c>
      <c r="B70" s="226" t="str">
        <f ca="1">IF(ROWS($1:57)&gt;COUNT(Dong3),"",OFFSET(TH!E$1,SMALL(Dong3,ROWS($1:57)),))</f>
        <v/>
      </c>
      <c r="C70" s="226" t="str">
        <f ca="1">IF(ROWS($1:57)&gt;COUNT(Dong3),"",IF(LEFT((OFFSET(TH!D$1,SMALL(Dong3,ROWS($1:57)),)),1)&lt;&gt;"N","",(OFFSET(TH!D$1,SMALL(Dong3,ROWS($1:57)),)&amp;"/"&amp;OFFSET(TH!C$1,SMALL(Dong3,ROWS($1:57)),))))</f>
        <v/>
      </c>
      <c r="D70" s="226" t="str">
        <f ca="1">IF(ROWS($1:57)&gt;COUNT(Dong3),"",IF(LEFT((OFFSET(TH!D$1,SMALL(Dong3,ROWS($1:57)),)),1)&lt;&gt;"X","",(OFFSET(TH!D$1,SMALL(Dong3,ROWS($1:57)),)&amp;"/"&amp;OFFSET(TH!C$1,SMALL(Dong3,ROWS($1:57)),))))</f>
        <v/>
      </c>
      <c r="E70" s="227" t="str">
        <f ca="1">IF(ROWS($1:57)&gt;COUNT(Dong3),"",OFFSET(TH!F$1,SMALL(Dong3,ROWS($1:57)),))</f>
        <v/>
      </c>
      <c r="F70" s="226" t="str">
        <f t="shared" ca="1" si="7"/>
        <v/>
      </c>
      <c r="G70" s="228">
        <f ca="1">IF(ROWS($1:57)&gt;COUNT(Dong3),0,IF(OFFSET(TH!K$1,SMALL(Dong3,ROWS($1:57)),)&lt;&gt;0,OFFSET(TH!K$1,SMALL(Dong3,ROWS($1:57)),),0))</f>
        <v>0</v>
      </c>
      <c r="H70" s="228">
        <f ca="1">IF(ROWS($1:57)&gt;COUNT(Dong3),0,IF(OFFSET(TH!M$1,SMALL(Dong3,ROWS($1:57)),)&lt;&gt;0,OFFSET(TH!M$1,SMALL(Dong3,ROWS($1:57)),),0))</f>
        <v>0</v>
      </c>
      <c r="I70" s="127">
        <f t="shared" ca="1" si="8"/>
        <v>0</v>
      </c>
      <c r="J70" s="130"/>
      <c r="K70" s="213"/>
    </row>
    <row r="71" spans="1:11" ht="16.5" customHeight="1">
      <c r="A71" s="129" t="str">
        <f t="shared" ca="1" si="6"/>
        <v/>
      </c>
      <c r="B71" s="226" t="str">
        <f ca="1">IF(ROWS($1:58)&gt;COUNT(Dong3),"",OFFSET(TH!E$1,SMALL(Dong3,ROWS($1:58)),))</f>
        <v/>
      </c>
      <c r="C71" s="226" t="str">
        <f ca="1">IF(ROWS($1:58)&gt;COUNT(Dong3),"",IF(LEFT((OFFSET(TH!D$1,SMALL(Dong3,ROWS($1:58)),)),1)&lt;&gt;"N","",(OFFSET(TH!D$1,SMALL(Dong3,ROWS($1:58)),)&amp;"/"&amp;OFFSET(TH!C$1,SMALL(Dong3,ROWS($1:58)),))))</f>
        <v/>
      </c>
      <c r="D71" s="226" t="str">
        <f ca="1">IF(ROWS($1:58)&gt;COUNT(Dong3),"",IF(LEFT((OFFSET(TH!D$1,SMALL(Dong3,ROWS($1:58)),)),1)&lt;&gt;"X","",(OFFSET(TH!D$1,SMALL(Dong3,ROWS($1:58)),)&amp;"/"&amp;OFFSET(TH!C$1,SMALL(Dong3,ROWS($1:58)),))))</f>
        <v/>
      </c>
      <c r="E71" s="227" t="str">
        <f ca="1">IF(ROWS($1:58)&gt;COUNT(Dong3),"",OFFSET(TH!F$1,SMALL(Dong3,ROWS($1:58)),))</f>
        <v/>
      </c>
      <c r="F71" s="226" t="str">
        <f t="shared" ca="1" si="7"/>
        <v/>
      </c>
      <c r="G71" s="228">
        <f ca="1">IF(ROWS($1:58)&gt;COUNT(Dong3),0,IF(OFFSET(TH!K$1,SMALL(Dong3,ROWS($1:58)),)&lt;&gt;0,OFFSET(TH!K$1,SMALL(Dong3,ROWS($1:58)),),0))</f>
        <v>0</v>
      </c>
      <c r="H71" s="228">
        <f ca="1">IF(ROWS($1:58)&gt;COUNT(Dong3),0,IF(OFFSET(TH!M$1,SMALL(Dong3,ROWS($1:58)),)&lt;&gt;0,OFFSET(TH!M$1,SMALL(Dong3,ROWS($1:58)),),0))</f>
        <v>0</v>
      </c>
      <c r="I71" s="127">
        <f t="shared" ca="1" si="8"/>
        <v>0</v>
      </c>
      <c r="J71" s="130"/>
      <c r="K71" s="213"/>
    </row>
    <row r="72" spans="1:11" ht="16.5" customHeight="1">
      <c r="A72" s="129" t="str">
        <f t="shared" ca="1" si="6"/>
        <v/>
      </c>
      <c r="B72" s="226" t="str">
        <f ca="1">IF(ROWS($1:59)&gt;COUNT(Dong3),"",OFFSET(TH!E$1,SMALL(Dong3,ROWS($1:59)),))</f>
        <v/>
      </c>
      <c r="C72" s="226" t="str">
        <f ca="1">IF(ROWS($1:59)&gt;COUNT(Dong3),"",IF(LEFT((OFFSET(TH!D$1,SMALL(Dong3,ROWS($1:59)),)),1)&lt;&gt;"N","",(OFFSET(TH!D$1,SMALL(Dong3,ROWS($1:59)),)&amp;"/"&amp;OFFSET(TH!C$1,SMALL(Dong3,ROWS($1:59)),))))</f>
        <v/>
      </c>
      <c r="D72" s="226" t="str">
        <f ca="1">IF(ROWS($1:59)&gt;COUNT(Dong3),"",IF(LEFT((OFFSET(TH!D$1,SMALL(Dong3,ROWS($1:59)),)),1)&lt;&gt;"X","",(OFFSET(TH!D$1,SMALL(Dong3,ROWS($1:59)),)&amp;"/"&amp;OFFSET(TH!C$1,SMALL(Dong3,ROWS($1:59)),))))</f>
        <v/>
      </c>
      <c r="E72" s="227" t="str">
        <f ca="1">IF(ROWS($1:59)&gt;COUNT(Dong3),"",OFFSET(TH!F$1,SMALL(Dong3,ROWS($1:59)),))</f>
        <v/>
      </c>
      <c r="F72" s="226" t="str">
        <f t="shared" ca="1" si="7"/>
        <v/>
      </c>
      <c r="G72" s="228">
        <f ca="1">IF(ROWS($1:59)&gt;COUNT(Dong3),0,IF(OFFSET(TH!K$1,SMALL(Dong3,ROWS($1:59)),)&lt;&gt;0,OFFSET(TH!K$1,SMALL(Dong3,ROWS($1:59)),),0))</f>
        <v>0</v>
      </c>
      <c r="H72" s="228">
        <f ca="1">IF(ROWS($1:59)&gt;COUNT(Dong3),0,IF(OFFSET(TH!M$1,SMALL(Dong3,ROWS($1:59)),)&lt;&gt;0,OFFSET(TH!M$1,SMALL(Dong3,ROWS($1:59)),),0))</f>
        <v>0</v>
      </c>
      <c r="I72" s="127">
        <f t="shared" ca="1" si="8"/>
        <v>0</v>
      </c>
      <c r="J72" s="130"/>
      <c r="K72" s="213"/>
    </row>
    <row r="73" spans="1:11" ht="16.5" customHeight="1">
      <c r="A73" s="129" t="str">
        <f t="shared" ca="1" si="6"/>
        <v/>
      </c>
      <c r="B73" s="226" t="str">
        <f ca="1">IF(ROWS($1:60)&gt;COUNT(Dong3),"",OFFSET(TH!E$1,SMALL(Dong3,ROWS($1:60)),))</f>
        <v/>
      </c>
      <c r="C73" s="226" t="str">
        <f ca="1">IF(ROWS($1:60)&gt;COUNT(Dong3),"",IF(LEFT((OFFSET(TH!D$1,SMALL(Dong3,ROWS($1:60)),)),1)&lt;&gt;"N","",(OFFSET(TH!D$1,SMALL(Dong3,ROWS($1:60)),)&amp;"/"&amp;OFFSET(TH!C$1,SMALL(Dong3,ROWS($1:60)),))))</f>
        <v/>
      </c>
      <c r="D73" s="226" t="str">
        <f ca="1">IF(ROWS($1:60)&gt;COUNT(Dong3),"",IF(LEFT((OFFSET(TH!D$1,SMALL(Dong3,ROWS($1:60)),)),1)&lt;&gt;"X","",(OFFSET(TH!D$1,SMALL(Dong3,ROWS($1:60)),)&amp;"/"&amp;OFFSET(TH!C$1,SMALL(Dong3,ROWS($1:60)),))))</f>
        <v/>
      </c>
      <c r="E73" s="227" t="str">
        <f ca="1">IF(ROWS($1:60)&gt;COUNT(Dong3),"",OFFSET(TH!F$1,SMALL(Dong3,ROWS($1:60)),))</f>
        <v/>
      </c>
      <c r="F73" s="226" t="str">
        <f t="shared" ca="1" si="7"/>
        <v/>
      </c>
      <c r="G73" s="228">
        <f ca="1">IF(ROWS($1:60)&gt;COUNT(Dong3),0,IF(OFFSET(TH!K$1,SMALL(Dong3,ROWS($1:60)),)&lt;&gt;0,OFFSET(TH!K$1,SMALL(Dong3,ROWS($1:60)),),0))</f>
        <v>0</v>
      </c>
      <c r="H73" s="228">
        <f ca="1">IF(ROWS($1:60)&gt;COUNT(Dong3),0,IF(OFFSET(TH!M$1,SMALL(Dong3,ROWS($1:60)),)&lt;&gt;0,OFFSET(TH!M$1,SMALL(Dong3,ROWS($1:60)),),0))</f>
        <v>0</v>
      </c>
      <c r="I73" s="127">
        <f t="shared" ca="1" si="8"/>
        <v>0</v>
      </c>
      <c r="J73" s="130"/>
      <c r="K73" s="213"/>
    </row>
    <row r="74" spans="1:11" ht="16.5" customHeight="1">
      <c r="A74" s="129" t="str">
        <f t="shared" ca="1" si="6"/>
        <v/>
      </c>
      <c r="B74" s="226" t="str">
        <f ca="1">IF(ROWS($1:61)&gt;COUNT(Dong3),"",OFFSET(TH!E$1,SMALL(Dong3,ROWS($1:61)),))</f>
        <v/>
      </c>
      <c r="C74" s="226" t="str">
        <f ca="1">IF(ROWS($1:61)&gt;COUNT(Dong3),"",IF(LEFT((OFFSET(TH!D$1,SMALL(Dong3,ROWS($1:61)),)),1)&lt;&gt;"N","",(OFFSET(TH!D$1,SMALL(Dong3,ROWS($1:61)),)&amp;"/"&amp;OFFSET(TH!C$1,SMALL(Dong3,ROWS($1:61)),))))</f>
        <v/>
      </c>
      <c r="D74" s="226" t="str">
        <f ca="1">IF(ROWS($1:61)&gt;COUNT(Dong3),"",IF(LEFT((OFFSET(TH!D$1,SMALL(Dong3,ROWS($1:61)),)),1)&lt;&gt;"X","",(OFFSET(TH!D$1,SMALL(Dong3,ROWS($1:61)),)&amp;"/"&amp;OFFSET(TH!C$1,SMALL(Dong3,ROWS($1:61)),))))</f>
        <v/>
      </c>
      <c r="E74" s="227" t="str">
        <f ca="1">IF(ROWS($1:61)&gt;COUNT(Dong3),"",OFFSET(TH!F$1,SMALL(Dong3,ROWS($1:61)),))</f>
        <v/>
      </c>
      <c r="F74" s="226" t="str">
        <f t="shared" ca="1" si="7"/>
        <v/>
      </c>
      <c r="G74" s="228">
        <f ca="1">IF(ROWS($1:61)&gt;COUNT(Dong3),0,IF(OFFSET(TH!K$1,SMALL(Dong3,ROWS($1:61)),)&lt;&gt;0,OFFSET(TH!K$1,SMALL(Dong3,ROWS($1:61)),),0))</f>
        <v>0</v>
      </c>
      <c r="H74" s="228">
        <f ca="1">IF(ROWS($1:61)&gt;COUNT(Dong3),0,IF(OFFSET(TH!M$1,SMALL(Dong3,ROWS($1:61)),)&lt;&gt;0,OFFSET(TH!M$1,SMALL(Dong3,ROWS($1:61)),),0))</f>
        <v>0</v>
      </c>
      <c r="I74" s="127">
        <f t="shared" ca="1" si="8"/>
        <v>0</v>
      </c>
      <c r="J74" s="130"/>
      <c r="K74" s="213"/>
    </row>
    <row r="75" spans="1:11" ht="16.5" customHeight="1">
      <c r="A75" s="129" t="str">
        <f t="shared" ca="1" si="6"/>
        <v/>
      </c>
      <c r="B75" s="226" t="str">
        <f ca="1">IF(ROWS($1:62)&gt;COUNT(Dong3),"",OFFSET(TH!E$1,SMALL(Dong3,ROWS($1:62)),))</f>
        <v/>
      </c>
      <c r="C75" s="226" t="str">
        <f ca="1">IF(ROWS($1:62)&gt;COUNT(Dong3),"",IF(LEFT((OFFSET(TH!D$1,SMALL(Dong3,ROWS($1:62)),)),1)&lt;&gt;"N","",(OFFSET(TH!D$1,SMALL(Dong3,ROWS($1:62)),)&amp;"/"&amp;OFFSET(TH!C$1,SMALL(Dong3,ROWS($1:62)),))))</f>
        <v/>
      </c>
      <c r="D75" s="226" t="str">
        <f ca="1">IF(ROWS($1:62)&gt;COUNT(Dong3),"",IF(LEFT((OFFSET(TH!D$1,SMALL(Dong3,ROWS($1:62)),)),1)&lt;&gt;"X","",(OFFSET(TH!D$1,SMALL(Dong3,ROWS($1:62)),)&amp;"/"&amp;OFFSET(TH!C$1,SMALL(Dong3,ROWS($1:62)),))))</f>
        <v/>
      </c>
      <c r="E75" s="227" t="str">
        <f ca="1">IF(ROWS($1:62)&gt;COUNT(Dong3),"",OFFSET(TH!F$1,SMALL(Dong3,ROWS($1:62)),))</f>
        <v/>
      </c>
      <c r="F75" s="226" t="str">
        <f t="shared" ca="1" si="7"/>
        <v/>
      </c>
      <c r="G75" s="228">
        <f ca="1">IF(ROWS($1:62)&gt;COUNT(Dong3),0,IF(OFFSET(TH!K$1,SMALL(Dong3,ROWS($1:62)),)&lt;&gt;0,OFFSET(TH!K$1,SMALL(Dong3,ROWS($1:62)),),0))</f>
        <v>0</v>
      </c>
      <c r="H75" s="228">
        <f ca="1">IF(ROWS($1:62)&gt;COUNT(Dong3),0,IF(OFFSET(TH!M$1,SMALL(Dong3,ROWS($1:62)),)&lt;&gt;0,OFFSET(TH!M$1,SMALL(Dong3,ROWS($1:62)),),0))</f>
        <v>0</v>
      </c>
      <c r="I75" s="127">
        <f t="shared" ca="1" si="8"/>
        <v>0</v>
      </c>
      <c r="J75" s="130"/>
      <c r="K75" s="213"/>
    </row>
    <row r="76" spans="1:11" ht="16.5" customHeight="1">
      <c r="A76" s="129" t="str">
        <f t="shared" ca="1" si="6"/>
        <v/>
      </c>
      <c r="B76" s="226" t="str">
        <f ca="1">IF(ROWS($1:63)&gt;COUNT(Dong3),"",OFFSET(TH!E$1,SMALL(Dong3,ROWS($1:63)),))</f>
        <v/>
      </c>
      <c r="C76" s="226" t="str">
        <f ca="1">IF(ROWS($1:63)&gt;COUNT(Dong3),"",IF(LEFT((OFFSET(TH!D$1,SMALL(Dong3,ROWS($1:63)),)),1)&lt;&gt;"N","",(OFFSET(TH!D$1,SMALL(Dong3,ROWS($1:63)),)&amp;"/"&amp;OFFSET(TH!C$1,SMALL(Dong3,ROWS($1:63)),))))</f>
        <v/>
      </c>
      <c r="D76" s="226" t="str">
        <f ca="1">IF(ROWS($1:63)&gt;COUNT(Dong3),"",IF(LEFT((OFFSET(TH!D$1,SMALL(Dong3,ROWS($1:63)),)),1)&lt;&gt;"X","",(OFFSET(TH!D$1,SMALL(Dong3,ROWS($1:63)),)&amp;"/"&amp;OFFSET(TH!C$1,SMALL(Dong3,ROWS($1:63)),))))</f>
        <v/>
      </c>
      <c r="E76" s="227" t="str">
        <f ca="1">IF(ROWS($1:63)&gt;COUNT(Dong3),"",OFFSET(TH!F$1,SMALL(Dong3,ROWS($1:63)),))</f>
        <v/>
      </c>
      <c r="F76" s="226" t="str">
        <f t="shared" ca="1" si="7"/>
        <v/>
      </c>
      <c r="G76" s="228">
        <f ca="1">IF(ROWS($1:63)&gt;COUNT(Dong3),0,IF(OFFSET(TH!K$1,SMALL(Dong3,ROWS($1:63)),)&lt;&gt;0,OFFSET(TH!K$1,SMALL(Dong3,ROWS($1:63)),),0))</f>
        <v>0</v>
      </c>
      <c r="H76" s="228">
        <f ca="1">IF(ROWS($1:63)&gt;COUNT(Dong3),0,IF(OFFSET(TH!M$1,SMALL(Dong3,ROWS($1:63)),)&lt;&gt;0,OFFSET(TH!M$1,SMALL(Dong3,ROWS($1:63)),),0))</f>
        <v>0</v>
      </c>
      <c r="I76" s="127">
        <f t="shared" ca="1" si="8"/>
        <v>0</v>
      </c>
      <c r="J76" s="130"/>
      <c r="K76" s="213"/>
    </row>
    <row r="77" spans="1:11" ht="16.5" customHeight="1">
      <c r="A77" s="129" t="str">
        <f t="shared" ca="1" si="6"/>
        <v/>
      </c>
      <c r="B77" s="226" t="str">
        <f ca="1">IF(ROWS($1:64)&gt;COUNT(Dong3),"",OFFSET(TH!E$1,SMALL(Dong3,ROWS($1:64)),))</f>
        <v/>
      </c>
      <c r="C77" s="226" t="str">
        <f ca="1">IF(ROWS($1:64)&gt;COUNT(Dong3),"",IF(LEFT((OFFSET(TH!D$1,SMALL(Dong3,ROWS($1:64)),)),1)&lt;&gt;"N","",(OFFSET(TH!D$1,SMALL(Dong3,ROWS($1:64)),)&amp;"/"&amp;OFFSET(TH!C$1,SMALL(Dong3,ROWS($1:64)),))))</f>
        <v/>
      </c>
      <c r="D77" s="226" t="str">
        <f ca="1">IF(ROWS($1:64)&gt;COUNT(Dong3),"",IF(LEFT((OFFSET(TH!D$1,SMALL(Dong3,ROWS($1:64)),)),1)&lt;&gt;"X","",(OFFSET(TH!D$1,SMALL(Dong3,ROWS($1:64)),)&amp;"/"&amp;OFFSET(TH!C$1,SMALL(Dong3,ROWS($1:64)),))))</f>
        <v/>
      </c>
      <c r="E77" s="227" t="str">
        <f ca="1">IF(ROWS($1:64)&gt;COUNT(Dong3),"",OFFSET(TH!F$1,SMALL(Dong3,ROWS($1:64)),))</f>
        <v/>
      </c>
      <c r="F77" s="226" t="str">
        <f t="shared" ca="1" si="7"/>
        <v/>
      </c>
      <c r="G77" s="228">
        <f ca="1">IF(ROWS($1:64)&gt;COUNT(Dong3),0,IF(OFFSET(TH!K$1,SMALL(Dong3,ROWS($1:64)),)&lt;&gt;0,OFFSET(TH!K$1,SMALL(Dong3,ROWS($1:64)),),0))</f>
        <v>0</v>
      </c>
      <c r="H77" s="228">
        <f ca="1">IF(ROWS($1:64)&gt;COUNT(Dong3),0,IF(OFFSET(TH!M$1,SMALL(Dong3,ROWS($1:64)),)&lt;&gt;0,OFFSET(TH!M$1,SMALL(Dong3,ROWS($1:64)),),0))</f>
        <v>0</v>
      </c>
      <c r="I77" s="127">
        <f t="shared" ca="1" si="8"/>
        <v>0</v>
      </c>
      <c r="J77" s="130"/>
      <c r="K77" s="213"/>
    </row>
    <row r="78" spans="1:11" ht="16.5" customHeight="1">
      <c r="A78" s="129" t="str">
        <f t="shared" ca="1" si="6"/>
        <v/>
      </c>
      <c r="B78" s="226" t="str">
        <f ca="1">IF(ROWS($1:65)&gt;COUNT(Dong3),"",OFFSET(TH!E$1,SMALL(Dong3,ROWS($1:65)),))</f>
        <v/>
      </c>
      <c r="C78" s="226" t="str">
        <f ca="1">IF(ROWS($1:65)&gt;COUNT(Dong3),"",IF(LEFT((OFFSET(TH!D$1,SMALL(Dong3,ROWS($1:65)),)),1)&lt;&gt;"N","",(OFFSET(TH!D$1,SMALL(Dong3,ROWS($1:65)),)&amp;"/"&amp;OFFSET(TH!C$1,SMALL(Dong3,ROWS($1:65)),))))</f>
        <v/>
      </c>
      <c r="D78" s="226" t="str">
        <f ca="1">IF(ROWS($1:65)&gt;COUNT(Dong3),"",IF(LEFT((OFFSET(TH!D$1,SMALL(Dong3,ROWS($1:65)),)),1)&lt;&gt;"X","",(OFFSET(TH!D$1,SMALL(Dong3,ROWS($1:65)),)&amp;"/"&amp;OFFSET(TH!C$1,SMALL(Dong3,ROWS($1:65)),))))</f>
        <v/>
      </c>
      <c r="E78" s="227" t="str">
        <f ca="1">IF(ROWS($1:65)&gt;COUNT(Dong3),"",OFFSET(TH!F$1,SMALL(Dong3,ROWS($1:65)),))</f>
        <v/>
      </c>
      <c r="F78" s="226" t="str">
        <f t="shared" ca="1" si="7"/>
        <v/>
      </c>
      <c r="G78" s="228">
        <f ca="1">IF(ROWS($1:65)&gt;COUNT(Dong3),0,IF(OFFSET(TH!K$1,SMALL(Dong3,ROWS($1:65)),)&lt;&gt;0,OFFSET(TH!K$1,SMALL(Dong3,ROWS($1:65)),),0))</f>
        <v>0</v>
      </c>
      <c r="H78" s="228">
        <f ca="1">IF(ROWS($1:65)&gt;COUNT(Dong3),0,IF(OFFSET(TH!M$1,SMALL(Dong3,ROWS($1:65)),)&lt;&gt;0,OFFSET(TH!M$1,SMALL(Dong3,ROWS($1:65)),),0))</f>
        <v>0</v>
      </c>
      <c r="I78" s="127">
        <f t="shared" ca="1" si="8"/>
        <v>0</v>
      </c>
      <c r="J78" s="130"/>
      <c r="K78" s="213"/>
    </row>
    <row r="79" spans="1:11" ht="16.5" customHeight="1">
      <c r="A79" s="129" t="str">
        <f t="shared" ca="1" si="6"/>
        <v/>
      </c>
      <c r="B79" s="226" t="str">
        <f ca="1">IF(ROWS($1:66)&gt;COUNT(Dong3),"",OFFSET(TH!E$1,SMALL(Dong3,ROWS($1:66)),))</f>
        <v/>
      </c>
      <c r="C79" s="226" t="str">
        <f ca="1">IF(ROWS($1:66)&gt;COUNT(Dong3),"",IF(LEFT((OFFSET(TH!D$1,SMALL(Dong3,ROWS($1:66)),)),1)&lt;&gt;"N","",(OFFSET(TH!D$1,SMALL(Dong3,ROWS($1:66)),)&amp;"/"&amp;OFFSET(TH!C$1,SMALL(Dong3,ROWS($1:66)),))))</f>
        <v/>
      </c>
      <c r="D79" s="226" t="str">
        <f ca="1">IF(ROWS($1:66)&gt;COUNT(Dong3),"",IF(LEFT((OFFSET(TH!D$1,SMALL(Dong3,ROWS($1:66)),)),1)&lt;&gt;"X","",(OFFSET(TH!D$1,SMALL(Dong3,ROWS($1:66)),)&amp;"/"&amp;OFFSET(TH!C$1,SMALL(Dong3,ROWS($1:66)),))))</f>
        <v/>
      </c>
      <c r="E79" s="227" t="str">
        <f ca="1">IF(ROWS($1:66)&gt;COUNT(Dong3),"",OFFSET(TH!F$1,SMALL(Dong3,ROWS($1:66)),))</f>
        <v/>
      </c>
      <c r="F79" s="226" t="str">
        <f t="shared" ca="1" si="7"/>
        <v/>
      </c>
      <c r="G79" s="228">
        <f ca="1">IF(ROWS($1:66)&gt;COUNT(Dong3),0,IF(OFFSET(TH!K$1,SMALL(Dong3,ROWS($1:66)),)&lt;&gt;0,OFFSET(TH!K$1,SMALL(Dong3,ROWS($1:66)),),0))</f>
        <v>0</v>
      </c>
      <c r="H79" s="228">
        <f ca="1">IF(ROWS($1:66)&gt;COUNT(Dong3),0,IF(OFFSET(TH!M$1,SMALL(Dong3,ROWS($1:66)),)&lt;&gt;0,OFFSET(TH!M$1,SMALL(Dong3,ROWS($1:66)),),0))</f>
        <v>0</v>
      </c>
      <c r="I79" s="127">
        <f t="shared" ca="1" si="8"/>
        <v>0</v>
      </c>
      <c r="J79" s="130"/>
      <c r="K79" s="213"/>
    </row>
    <row r="80" spans="1:11" ht="16.5" customHeight="1">
      <c r="A80" s="129" t="str">
        <f t="shared" ca="1" si="6"/>
        <v/>
      </c>
      <c r="B80" s="226" t="str">
        <f ca="1">IF(ROWS($1:67)&gt;COUNT(Dong3),"",OFFSET(TH!E$1,SMALL(Dong3,ROWS($1:67)),))</f>
        <v/>
      </c>
      <c r="C80" s="226" t="str">
        <f ca="1">IF(ROWS($1:67)&gt;COUNT(Dong3),"",IF(LEFT((OFFSET(TH!D$1,SMALL(Dong3,ROWS($1:67)),)),1)&lt;&gt;"N","",(OFFSET(TH!D$1,SMALL(Dong3,ROWS($1:67)),)&amp;"/"&amp;OFFSET(TH!C$1,SMALL(Dong3,ROWS($1:67)),))))</f>
        <v/>
      </c>
      <c r="D80" s="226" t="str">
        <f ca="1">IF(ROWS($1:67)&gt;COUNT(Dong3),"",IF(LEFT((OFFSET(TH!D$1,SMALL(Dong3,ROWS($1:67)),)),1)&lt;&gt;"X","",(OFFSET(TH!D$1,SMALL(Dong3,ROWS($1:67)),)&amp;"/"&amp;OFFSET(TH!C$1,SMALL(Dong3,ROWS($1:67)),))))</f>
        <v/>
      </c>
      <c r="E80" s="227" t="str">
        <f ca="1">IF(ROWS($1:67)&gt;COUNT(Dong3),"",OFFSET(TH!F$1,SMALL(Dong3,ROWS($1:67)),))</f>
        <v/>
      </c>
      <c r="F80" s="226" t="str">
        <f t="shared" ca="1" si="7"/>
        <v/>
      </c>
      <c r="G80" s="228">
        <f ca="1">IF(ROWS($1:67)&gt;COUNT(Dong3),0,IF(OFFSET(TH!K$1,SMALL(Dong3,ROWS($1:67)),)&lt;&gt;0,OFFSET(TH!K$1,SMALL(Dong3,ROWS($1:67)),),0))</f>
        <v>0</v>
      </c>
      <c r="H80" s="228">
        <f ca="1">IF(ROWS($1:67)&gt;COUNT(Dong3),0,IF(OFFSET(TH!M$1,SMALL(Dong3,ROWS($1:67)),)&lt;&gt;0,OFFSET(TH!M$1,SMALL(Dong3,ROWS($1:67)),),0))</f>
        <v>0</v>
      </c>
      <c r="I80" s="127">
        <f t="shared" ca="1" si="8"/>
        <v>0</v>
      </c>
      <c r="J80" s="130"/>
      <c r="K80" s="213"/>
    </row>
    <row r="81" spans="1:11" ht="16.5" customHeight="1">
      <c r="A81" s="129" t="str">
        <f t="shared" ca="1" si="6"/>
        <v/>
      </c>
      <c r="B81" s="226" t="str">
        <f ca="1">IF(ROWS($1:68)&gt;COUNT(Dong3),"",OFFSET(TH!E$1,SMALL(Dong3,ROWS($1:68)),))</f>
        <v/>
      </c>
      <c r="C81" s="226" t="str">
        <f ca="1">IF(ROWS($1:68)&gt;COUNT(Dong3),"",IF(LEFT((OFFSET(TH!D$1,SMALL(Dong3,ROWS($1:68)),)),1)&lt;&gt;"N","",(OFFSET(TH!D$1,SMALL(Dong3,ROWS($1:68)),)&amp;"/"&amp;OFFSET(TH!C$1,SMALL(Dong3,ROWS($1:68)),))))</f>
        <v/>
      </c>
      <c r="D81" s="226" t="str">
        <f ca="1">IF(ROWS($1:68)&gt;COUNT(Dong3),"",IF(LEFT((OFFSET(TH!D$1,SMALL(Dong3,ROWS($1:68)),)),1)&lt;&gt;"X","",(OFFSET(TH!D$1,SMALL(Dong3,ROWS($1:68)),)&amp;"/"&amp;OFFSET(TH!C$1,SMALL(Dong3,ROWS($1:68)),))))</f>
        <v/>
      </c>
      <c r="E81" s="227" t="str">
        <f ca="1">IF(ROWS($1:68)&gt;COUNT(Dong3),"",OFFSET(TH!F$1,SMALL(Dong3,ROWS($1:68)),))</f>
        <v/>
      </c>
      <c r="F81" s="226" t="str">
        <f t="shared" ca="1" si="7"/>
        <v/>
      </c>
      <c r="G81" s="228">
        <f ca="1">IF(ROWS($1:68)&gt;COUNT(Dong3),0,IF(OFFSET(TH!K$1,SMALL(Dong3,ROWS($1:68)),)&lt;&gt;0,OFFSET(TH!K$1,SMALL(Dong3,ROWS($1:68)),),0))</f>
        <v>0</v>
      </c>
      <c r="H81" s="228">
        <f ca="1">IF(ROWS($1:68)&gt;COUNT(Dong3),0,IF(OFFSET(TH!M$1,SMALL(Dong3,ROWS($1:68)),)&lt;&gt;0,OFFSET(TH!M$1,SMALL(Dong3,ROWS($1:68)),),0))</f>
        <v>0</v>
      </c>
      <c r="I81" s="127">
        <f t="shared" ca="1" si="8"/>
        <v>0</v>
      </c>
      <c r="J81" s="130"/>
      <c r="K81" s="213"/>
    </row>
    <row r="82" spans="1:11" ht="16.5" customHeight="1">
      <c r="A82" s="129" t="str">
        <f t="shared" ca="1" si="6"/>
        <v/>
      </c>
      <c r="B82" s="226" t="str">
        <f ca="1">IF(ROWS($1:69)&gt;COUNT(Dong3),"",OFFSET(TH!E$1,SMALL(Dong3,ROWS($1:69)),))</f>
        <v/>
      </c>
      <c r="C82" s="226" t="str">
        <f ca="1">IF(ROWS($1:69)&gt;COUNT(Dong3),"",IF(LEFT((OFFSET(TH!D$1,SMALL(Dong3,ROWS($1:69)),)),1)&lt;&gt;"N","",(OFFSET(TH!D$1,SMALL(Dong3,ROWS($1:69)),)&amp;"/"&amp;OFFSET(TH!C$1,SMALL(Dong3,ROWS($1:69)),))))</f>
        <v/>
      </c>
      <c r="D82" s="226" t="str">
        <f ca="1">IF(ROWS($1:69)&gt;COUNT(Dong3),"",IF(LEFT((OFFSET(TH!D$1,SMALL(Dong3,ROWS($1:69)),)),1)&lt;&gt;"X","",(OFFSET(TH!D$1,SMALL(Dong3,ROWS($1:69)),)&amp;"/"&amp;OFFSET(TH!C$1,SMALL(Dong3,ROWS($1:69)),))))</f>
        <v/>
      </c>
      <c r="E82" s="227" t="str">
        <f ca="1">IF(ROWS($1:69)&gt;COUNT(Dong3),"",OFFSET(TH!F$1,SMALL(Dong3,ROWS($1:69)),))</f>
        <v/>
      </c>
      <c r="F82" s="226" t="str">
        <f t="shared" ca="1" si="7"/>
        <v/>
      </c>
      <c r="G82" s="228">
        <f ca="1">IF(ROWS($1:69)&gt;COUNT(Dong3),0,IF(OFFSET(TH!K$1,SMALL(Dong3,ROWS($1:69)),)&lt;&gt;0,OFFSET(TH!K$1,SMALL(Dong3,ROWS($1:69)),),0))</f>
        <v>0</v>
      </c>
      <c r="H82" s="228">
        <f ca="1">IF(ROWS($1:69)&gt;COUNT(Dong3),0,IF(OFFSET(TH!M$1,SMALL(Dong3,ROWS($1:69)),)&lt;&gt;0,OFFSET(TH!M$1,SMALL(Dong3,ROWS($1:69)),),0))</f>
        <v>0</v>
      </c>
      <c r="I82" s="127">
        <f t="shared" ca="1" si="8"/>
        <v>0</v>
      </c>
      <c r="J82" s="130"/>
      <c r="K82" s="213"/>
    </row>
    <row r="83" spans="1:11" ht="16.5" customHeight="1">
      <c r="A83" s="129" t="str">
        <f t="shared" ca="1" si="6"/>
        <v/>
      </c>
      <c r="B83" s="226" t="str">
        <f ca="1">IF(ROWS($1:70)&gt;COUNT(Dong3),"",OFFSET(TH!E$1,SMALL(Dong3,ROWS($1:70)),))</f>
        <v/>
      </c>
      <c r="C83" s="226" t="str">
        <f ca="1">IF(ROWS($1:70)&gt;COUNT(Dong3),"",IF(LEFT((OFFSET(TH!D$1,SMALL(Dong3,ROWS($1:70)),)),1)&lt;&gt;"N","",(OFFSET(TH!D$1,SMALL(Dong3,ROWS($1:70)),)&amp;"/"&amp;OFFSET(TH!C$1,SMALL(Dong3,ROWS($1:70)),))))</f>
        <v/>
      </c>
      <c r="D83" s="226" t="str">
        <f ca="1">IF(ROWS($1:70)&gt;COUNT(Dong3),"",IF(LEFT((OFFSET(TH!D$1,SMALL(Dong3,ROWS($1:70)),)),1)&lt;&gt;"X","",(OFFSET(TH!D$1,SMALL(Dong3,ROWS($1:70)),)&amp;"/"&amp;OFFSET(TH!C$1,SMALL(Dong3,ROWS($1:70)),))))</f>
        <v/>
      </c>
      <c r="E83" s="227" t="str">
        <f ca="1">IF(ROWS($1:70)&gt;COUNT(Dong3),"",OFFSET(TH!F$1,SMALL(Dong3,ROWS($1:70)),))</f>
        <v/>
      </c>
      <c r="F83" s="226" t="str">
        <f t="shared" ca="1" si="7"/>
        <v/>
      </c>
      <c r="G83" s="228">
        <f ca="1">IF(ROWS($1:70)&gt;COUNT(Dong3),0,IF(OFFSET(TH!K$1,SMALL(Dong3,ROWS($1:70)),)&lt;&gt;0,OFFSET(TH!K$1,SMALL(Dong3,ROWS($1:70)),),0))</f>
        <v>0</v>
      </c>
      <c r="H83" s="228">
        <f ca="1">IF(ROWS($1:70)&gt;COUNT(Dong3),0,IF(OFFSET(TH!M$1,SMALL(Dong3,ROWS($1:70)),)&lt;&gt;0,OFFSET(TH!M$1,SMALL(Dong3,ROWS($1:70)),),0))</f>
        <v>0</v>
      </c>
      <c r="I83" s="127">
        <f t="shared" ca="1" si="8"/>
        <v>0</v>
      </c>
      <c r="J83" s="130"/>
      <c r="K83" s="213"/>
    </row>
    <row r="84" spans="1:11" ht="16.5" customHeight="1">
      <c r="A84" s="129" t="str">
        <f t="shared" ca="1" si="6"/>
        <v/>
      </c>
      <c r="B84" s="226" t="str">
        <f ca="1">IF(ROWS($1:71)&gt;COUNT(Dong3),"",OFFSET(TH!E$1,SMALL(Dong3,ROWS($1:71)),))</f>
        <v/>
      </c>
      <c r="C84" s="226" t="str">
        <f ca="1">IF(ROWS($1:71)&gt;COUNT(Dong3),"",IF(LEFT((OFFSET(TH!D$1,SMALL(Dong3,ROWS($1:71)),)),1)&lt;&gt;"N","",(OFFSET(TH!D$1,SMALL(Dong3,ROWS($1:71)),)&amp;"/"&amp;OFFSET(TH!C$1,SMALL(Dong3,ROWS($1:71)),))))</f>
        <v/>
      </c>
      <c r="D84" s="226" t="str">
        <f ca="1">IF(ROWS($1:71)&gt;COUNT(Dong3),"",IF(LEFT((OFFSET(TH!D$1,SMALL(Dong3,ROWS($1:71)),)),1)&lt;&gt;"X","",(OFFSET(TH!D$1,SMALL(Dong3,ROWS($1:71)),)&amp;"/"&amp;OFFSET(TH!C$1,SMALL(Dong3,ROWS($1:71)),))))</f>
        <v/>
      </c>
      <c r="E84" s="227" t="str">
        <f ca="1">IF(ROWS($1:71)&gt;COUNT(Dong3),"",OFFSET(TH!F$1,SMALL(Dong3,ROWS($1:71)),))</f>
        <v/>
      </c>
      <c r="F84" s="226" t="str">
        <f t="shared" ca="1" si="7"/>
        <v/>
      </c>
      <c r="G84" s="228">
        <f ca="1">IF(ROWS($1:71)&gt;COUNT(Dong3),0,IF(OFFSET(TH!K$1,SMALL(Dong3,ROWS($1:71)),)&lt;&gt;0,OFFSET(TH!K$1,SMALL(Dong3,ROWS($1:71)),),0))</f>
        <v>0</v>
      </c>
      <c r="H84" s="228">
        <f ca="1">IF(ROWS($1:71)&gt;COUNT(Dong3),0,IF(OFFSET(TH!M$1,SMALL(Dong3,ROWS($1:71)),)&lt;&gt;0,OFFSET(TH!M$1,SMALL(Dong3,ROWS($1:71)),),0))</f>
        <v>0</v>
      </c>
      <c r="I84" s="127">
        <f t="shared" ca="1" si="8"/>
        <v>0</v>
      </c>
      <c r="J84" s="130"/>
      <c r="K84" s="213"/>
    </row>
    <row r="85" spans="1:11" ht="16.5" customHeight="1">
      <c r="A85" s="129" t="str">
        <f t="shared" ca="1" si="6"/>
        <v/>
      </c>
      <c r="B85" s="226" t="str">
        <f ca="1">IF(ROWS($1:72)&gt;COUNT(Dong3),"",OFFSET(TH!E$1,SMALL(Dong3,ROWS($1:72)),))</f>
        <v/>
      </c>
      <c r="C85" s="226" t="str">
        <f ca="1">IF(ROWS($1:72)&gt;COUNT(Dong3),"",IF(LEFT((OFFSET(TH!D$1,SMALL(Dong3,ROWS($1:72)),)),1)&lt;&gt;"N","",(OFFSET(TH!D$1,SMALL(Dong3,ROWS($1:72)),)&amp;"/"&amp;OFFSET(TH!C$1,SMALL(Dong3,ROWS($1:72)),))))</f>
        <v/>
      </c>
      <c r="D85" s="226" t="str">
        <f ca="1">IF(ROWS($1:72)&gt;COUNT(Dong3),"",IF(LEFT((OFFSET(TH!D$1,SMALL(Dong3,ROWS($1:72)),)),1)&lt;&gt;"X","",(OFFSET(TH!D$1,SMALL(Dong3,ROWS($1:72)),)&amp;"/"&amp;OFFSET(TH!C$1,SMALL(Dong3,ROWS($1:72)),))))</f>
        <v/>
      </c>
      <c r="E85" s="227" t="str">
        <f ca="1">IF(ROWS($1:72)&gt;COUNT(Dong3),"",OFFSET(TH!F$1,SMALL(Dong3,ROWS($1:72)),))</f>
        <v/>
      </c>
      <c r="F85" s="226" t="str">
        <f t="shared" ca="1" si="7"/>
        <v/>
      </c>
      <c r="G85" s="228">
        <f ca="1">IF(ROWS($1:72)&gt;COUNT(Dong3),0,IF(OFFSET(TH!K$1,SMALL(Dong3,ROWS($1:72)),)&lt;&gt;0,OFFSET(TH!K$1,SMALL(Dong3,ROWS($1:72)),),0))</f>
        <v>0</v>
      </c>
      <c r="H85" s="228">
        <f ca="1">IF(ROWS($1:72)&gt;COUNT(Dong3),0,IF(OFFSET(TH!M$1,SMALL(Dong3,ROWS($1:72)),)&lt;&gt;0,OFFSET(TH!M$1,SMALL(Dong3,ROWS($1:72)),),0))</f>
        <v>0</v>
      </c>
      <c r="I85" s="127">
        <f t="shared" ca="1" si="8"/>
        <v>0</v>
      </c>
      <c r="J85" s="130"/>
      <c r="K85" s="213"/>
    </row>
    <row r="86" spans="1:11" ht="16.5" customHeight="1">
      <c r="A86" s="129" t="str">
        <f t="shared" ca="1" si="6"/>
        <v/>
      </c>
      <c r="B86" s="226" t="str">
        <f ca="1">IF(ROWS($1:73)&gt;COUNT(Dong3),"",OFFSET(TH!E$1,SMALL(Dong3,ROWS($1:73)),))</f>
        <v/>
      </c>
      <c r="C86" s="226" t="str">
        <f ca="1">IF(ROWS($1:73)&gt;COUNT(Dong3),"",IF(LEFT((OFFSET(TH!D$1,SMALL(Dong3,ROWS($1:73)),)),1)&lt;&gt;"N","",(OFFSET(TH!D$1,SMALL(Dong3,ROWS($1:73)),)&amp;"/"&amp;OFFSET(TH!C$1,SMALL(Dong3,ROWS($1:73)),))))</f>
        <v/>
      </c>
      <c r="D86" s="226" t="str">
        <f ca="1">IF(ROWS($1:73)&gt;COUNT(Dong3),"",IF(LEFT((OFFSET(TH!D$1,SMALL(Dong3,ROWS($1:73)),)),1)&lt;&gt;"X","",(OFFSET(TH!D$1,SMALL(Dong3,ROWS($1:73)),)&amp;"/"&amp;OFFSET(TH!C$1,SMALL(Dong3,ROWS($1:73)),))))</f>
        <v/>
      </c>
      <c r="E86" s="227" t="str">
        <f ca="1">IF(ROWS($1:73)&gt;COUNT(Dong3),"",OFFSET(TH!F$1,SMALL(Dong3,ROWS($1:73)),))</f>
        <v/>
      </c>
      <c r="F86" s="226" t="str">
        <f t="shared" ca="1" si="7"/>
        <v/>
      </c>
      <c r="G86" s="228">
        <f ca="1">IF(ROWS($1:73)&gt;COUNT(Dong3),0,IF(OFFSET(TH!K$1,SMALL(Dong3,ROWS($1:73)),)&lt;&gt;0,OFFSET(TH!K$1,SMALL(Dong3,ROWS($1:73)),),0))</f>
        <v>0</v>
      </c>
      <c r="H86" s="228">
        <f ca="1">IF(ROWS($1:73)&gt;COUNT(Dong3),0,IF(OFFSET(TH!M$1,SMALL(Dong3,ROWS($1:73)),)&lt;&gt;0,OFFSET(TH!M$1,SMALL(Dong3,ROWS($1:73)),),0))</f>
        <v>0</v>
      </c>
      <c r="I86" s="127">
        <f t="shared" ca="1" si="8"/>
        <v>0</v>
      </c>
      <c r="J86" s="130"/>
      <c r="K86" s="213"/>
    </row>
    <row r="87" spans="1:11" ht="16.5" customHeight="1">
      <c r="A87" s="129" t="str">
        <f t="shared" ca="1" si="6"/>
        <v/>
      </c>
      <c r="B87" s="226" t="str">
        <f ca="1">IF(ROWS($1:74)&gt;COUNT(Dong3),"",OFFSET(TH!E$1,SMALL(Dong3,ROWS($1:74)),))</f>
        <v/>
      </c>
      <c r="C87" s="226" t="str">
        <f ca="1">IF(ROWS($1:74)&gt;COUNT(Dong3),"",IF(LEFT((OFFSET(TH!D$1,SMALL(Dong3,ROWS($1:74)),)),1)&lt;&gt;"N","",(OFFSET(TH!D$1,SMALL(Dong3,ROWS($1:74)),)&amp;"/"&amp;OFFSET(TH!C$1,SMALL(Dong3,ROWS($1:74)),))))</f>
        <v/>
      </c>
      <c r="D87" s="226" t="str">
        <f ca="1">IF(ROWS($1:74)&gt;COUNT(Dong3),"",IF(LEFT((OFFSET(TH!D$1,SMALL(Dong3,ROWS($1:74)),)),1)&lt;&gt;"X","",(OFFSET(TH!D$1,SMALL(Dong3,ROWS($1:74)),)&amp;"/"&amp;OFFSET(TH!C$1,SMALL(Dong3,ROWS($1:74)),))))</f>
        <v/>
      </c>
      <c r="E87" s="227" t="str">
        <f ca="1">IF(ROWS($1:74)&gt;COUNT(Dong3),"",OFFSET(TH!F$1,SMALL(Dong3,ROWS($1:74)),))</f>
        <v/>
      </c>
      <c r="F87" s="226" t="str">
        <f t="shared" ca="1" si="7"/>
        <v/>
      </c>
      <c r="G87" s="228">
        <f ca="1">IF(ROWS($1:74)&gt;COUNT(Dong3),0,IF(OFFSET(TH!K$1,SMALL(Dong3,ROWS($1:74)),)&lt;&gt;0,OFFSET(TH!K$1,SMALL(Dong3,ROWS($1:74)),),0))</f>
        <v>0</v>
      </c>
      <c r="H87" s="228">
        <f ca="1">IF(ROWS($1:74)&gt;COUNT(Dong3),0,IF(OFFSET(TH!M$1,SMALL(Dong3,ROWS($1:74)),)&lt;&gt;0,OFFSET(TH!M$1,SMALL(Dong3,ROWS($1:74)),),0))</f>
        <v>0</v>
      </c>
      <c r="I87" s="127">
        <f t="shared" ca="1" si="8"/>
        <v>0</v>
      </c>
      <c r="J87" s="130"/>
      <c r="K87" s="213"/>
    </row>
    <row r="88" spans="1:11" ht="16.5" customHeight="1">
      <c r="A88" s="129" t="str">
        <f t="shared" ca="1" si="6"/>
        <v/>
      </c>
      <c r="B88" s="226" t="str">
        <f ca="1">IF(ROWS($1:75)&gt;COUNT(Dong3),"",OFFSET(TH!E$1,SMALL(Dong3,ROWS($1:75)),))</f>
        <v/>
      </c>
      <c r="C88" s="226" t="str">
        <f ca="1">IF(ROWS($1:75)&gt;COUNT(Dong3),"",IF(LEFT((OFFSET(TH!D$1,SMALL(Dong3,ROWS($1:75)),)),1)&lt;&gt;"N","",(OFFSET(TH!D$1,SMALL(Dong3,ROWS($1:75)),)&amp;"/"&amp;OFFSET(TH!C$1,SMALL(Dong3,ROWS($1:75)),))))</f>
        <v/>
      </c>
      <c r="D88" s="226" t="str">
        <f ca="1">IF(ROWS($1:75)&gt;COUNT(Dong3),"",IF(LEFT((OFFSET(TH!D$1,SMALL(Dong3,ROWS($1:75)),)),1)&lt;&gt;"X","",(OFFSET(TH!D$1,SMALL(Dong3,ROWS($1:75)),)&amp;"/"&amp;OFFSET(TH!C$1,SMALL(Dong3,ROWS($1:75)),))))</f>
        <v/>
      </c>
      <c r="E88" s="227" t="str">
        <f ca="1">IF(ROWS($1:75)&gt;COUNT(Dong3),"",OFFSET(TH!F$1,SMALL(Dong3,ROWS($1:75)),))</f>
        <v/>
      </c>
      <c r="F88" s="226" t="str">
        <f t="shared" ca="1" si="7"/>
        <v/>
      </c>
      <c r="G88" s="228">
        <f ca="1">IF(ROWS($1:75)&gt;COUNT(Dong3),0,IF(OFFSET(TH!K$1,SMALL(Dong3,ROWS($1:75)),)&lt;&gt;0,OFFSET(TH!K$1,SMALL(Dong3,ROWS($1:75)),),0))</f>
        <v>0</v>
      </c>
      <c r="H88" s="228">
        <f ca="1">IF(ROWS($1:75)&gt;COUNT(Dong3),0,IF(OFFSET(TH!M$1,SMALL(Dong3,ROWS($1:75)),)&lt;&gt;0,OFFSET(TH!M$1,SMALL(Dong3,ROWS($1:75)),),0))</f>
        <v>0</v>
      </c>
      <c r="I88" s="127">
        <f t="shared" ca="1" si="8"/>
        <v>0</v>
      </c>
      <c r="J88" s="130"/>
      <c r="K88" s="213"/>
    </row>
    <row r="89" spans="1:11" ht="16.5" customHeight="1">
      <c r="A89" s="129" t="str">
        <f t="shared" ca="1" si="6"/>
        <v/>
      </c>
      <c r="B89" s="226" t="str">
        <f ca="1">IF(ROWS($1:76)&gt;COUNT(Dong3),"",OFFSET(TH!E$1,SMALL(Dong3,ROWS($1:76)),))</f>
        <v/>
      </c>
      <c r="C89" s="226" t="str">
        <f ca="1">IF(ROWS($1:76)&gt;COUNT(Dong3),"",IF(LEFT((OFFSET(TH!D$1,SMALL(Dong3,ROWS($1:76)),)),1)&lt;&gt;"N","",(OFFSET(TH!D$1,SMALL(Dong3,ROWS($1:76)),)&amp;"/"&amp;OFFSET(TH!C$1,SMALL(Dong3,ROWS($1:76)),))))</f>
        <v/>
      </c>
      <c r="D89" s="226" t="str">
        <f ca="1">IF(ROWS($1:76)&gt;COUNT(Dong3),"",IF(LEFT((OFFSET(TH!D$1,SMALL(Dong3,ROWS($1:76)),)),1)&lt;&gt;"X","",(OFFSET(TH!D$1,SMALL(Dong3,ROWS($1:76)),)&amp;"/"&amp;OFFSET(TH!C$1,SMALL(Dong3,ROWS($1:76)),))))</f>
        <v/>
      </c>
      <c r="E89" s="227" t="str">
        <f ca="1">IF(ROWS($1:76)&gt;COUNT(Dong3),"",OFFSET(TH!F$1,SMALL(Dong3,ROWS($1:76)),))</f>
        <v/>
      </c>
      <c r="F89" s="226" t="str">
        <f t="shared" ca="1" si="7"/>
        <v/>
      </c>
      <c r="G89" s="228">
        <f ca="1">IF(ROWS($1:76)&gt;COUNT(Dong3),0,IF(OFFSET(TH!K$1,SMALL(Dong3,ROWS($1:76)),)&lt;&gt;0,OFFSET(TH!K$1,SMALL(Dong3,ROWS($1:76)),),0))</f>
        <v>0</v>
      </c>
      <c r="H89" s="228">
        <f ca="1">IF(ROWS($1:76)&gt;COUNT(Dong3),0,IF(OFFSET(TH!M$1,SMALL(Dong3,ROWS($1:76)),)&lt;&gt;0,OFFSET(TH!M$1,SMALL(Dong3,ROWS($1:76)),),0))</f>
        <v>0</v>
      </c>
      <c r="I89" s="127">
        <f t="shared" ca="1" si="8"/>
        <v>0</v>
      </c>
      <c r="J89" s="130"/>
      <c r="K89" s="213"/>
    </row>
    <row r="90" spans="1:11" ht="16.5" customHeight="1">
      <c r="A90" s="129" t="str">
        <f t="shared" ca="1" si="6"/>
        <v/>
      </c>
      <c r="B90" s="226" t="str">
        <f ca="1">IF(ROWS($1:77)&gt;COUNT(Dong3),"",OFFSET(TH!E$1,SMALL(Dong3,ROWS($1:77)),))</f>
        <v/>
      </c>
      <c r="C90" s="226" t="str">
        <f ca="1">IF(ROWS($1:77)&gt;COUNT(Dong3),"",IF(LEFT((OFFSET(TH!D$1,SMALL(Dong3,ROWS($1:77)),)),1)&lt;&gt;"N","",(OFFSET(TH!D$1,SMALL(Dong3,ROWS($1:77)),)&amp;"/"&amp;OFFSET(TH!C$1,SMALL(Dong3,ROWS($1:77)),))))</f>
        <v/>
      </c>
      <c r="D90" s="226" t="str">
        <f ca="1">IF(ROWS($1:77)&gt;COUNT(Dong3),"",IF(LEFT((OFFSET(TH!D$1,SMALL(Dong3,ROWS($1:77)),)),1)&lt;&gt;"X","",(OFFSET(TH!D$1,SMALL(Dong3,ROWS($1:77)),)&amp;"/"&amp;OFFSET(TH!C$1,SMALL(Dong3,ROWS($1:77)),))))</f>
        <v/>
      </c>
      <c r="E90" s="227" t="str">
        <f ca="1">IF(ROWS($1:77)&gt;COUNT(Dong3),"",OFFSET(TH!F$1,SMALL(Dong3,ROWS($1:77)),))</f>
        <v/>
      </c>
      <c r="F90" s="226" t="str">
        <f t="shared" ca="1" si="7"/>
        <v/>
      </c>
      <c r="G90" s="228">
        <f ca="1">IF(ROWS($1:77)&gt;COUNT(Dong3),0,IF(OFFSET(TH!K$1,SMALL(Dong3,ROWS($1:77)),)&lt;&gt;0,OFFSET(TH!K$1,SMALL(Dong3,ROWS($1:77)),),0))</f>
        <v>0</v>
      </c>
      <c r="H90" s="228">
        <f ca="1">IF(ROWS($1:77)&gt;COUNT(Dong3),0,IF(OFFSET(TH!M$1,SMALL(Dong3,ROWS($1:77)),)&lt;&gt;0,OFFSET(TH!M$1,SMALL(Dong3,ROWS($1:77)),),0))</f>
        <v>0</v>
      </c>
      <c r="I90" s="127">
        <f t="shared" ca="1" si="8"/>
        <v>0</v>
      </c>
      <c r="J90" s="130"/>
      <c r="K90" s="213"/>
    </row>
    <row r="91" spans="1:11" ht="16.5" customHeight="1">
      <c r="A91" s="129" t="str">
        <f t="shared" ca="1" si="6"/>
        <v/>
      </c>
      <c r="B91" s="226" t="str">
        <f ca="1">IF(ROWS($1:78)&gt;COUNT(Dong3),"",OFFSET(TH!E$1,SMALL(Dong3,ROWS($1:78)),))</f>
        <v/>
      </c>
      <c r="C91" s="226" t="str">
        <f ca="1">IF(ROWS($1:78)&gt;COUNT(Dong3),"",IF(LEFT((OFFSET(TH!D$1,SMALL(Dong3,ROWS($1:78)),)),1)&lt;&gt;"N","",(OFFSET(TH!D$1,SMALL(Dong3,ROWS($1:78)),)&amp;"/"&amp;OFFSET(TH!C$1,SMALL(Dong3,ROWS($1:78)),))))</f>
        <v/>
      </c>
      <c r="D91" s="226" t="str">
        <f ca="1">IF(ROWS($1:78)&gt;COUNT(Dong3),"",IF(LEFT((OFFSET(TH!D$1,SMALL(Dong3,ROWS($1:78)),)),1)&lt;&gt;"X","",(OFFSET(TH!D$1,SMALL(Dong3,ROWS($1:78)),)&amp;"/"&amp;OFFSET(TH!C$1,SMALL(Dong3,ROWS($1:78)),))))</f>
        <v/>
      </c>
      <c r="E91" s="227" t="str">
        <f ca="1">IF(ROWS($1:78)&gt;COUNT(Dong3),"",OFFSET(TH!F$1,SMALL(Dong3,ROWS($1:78)),))</f>
        <v/>
      </c>
      <c r="F91" s="226" t="str">
        <f t="shared" ca="1" si="7"/>
        <v/>
      </c>
      <c r="G91" s="228">
        <f ca="1">IF(ROWS($1:78)&gt;COUNT(Dong3),0,IF(OFFSET(TH!K$1,SMALL(Dong3,ROWS($1:78)),)&lt;&gt;0,OFFSET(TH!K$1,SMALL(Dong3,ROWS($1:78)),),0))</f>
        <v>0</v>
      </c>
      <c r="H91" s="228">
        <f ca="1">IF(ROWS($1:78)&gt;COUNT(Dong3),0,IF(OFFSET(TH!M$1,SMALL(Dong3,ROWS($1:78)),)&lt;&gt;0,OFFSET(TH!M$1,SMALL(Dong3,ROWS($1:78)),),0))</f>
        <v>0</v>
      </c>
      <c r="I91" s="127">
        <f t="shared" ca="1" si="8"/>
        <v>0</v>
      </c>
      <c r="J91" s="130"/>
      <c r="K91" s="213"/>
    </row>
    <row r="92" spans="1:11" ht="16.5" customHeight="1">
      <c r="A92" s="129" t="str">
        <f t="shared" ca="1" si="6"/>
        <v/>
      </c>
      <c r="B92" s="226" t="str">
        <f ca="1">IF(ROWS($1:79)&gt;COUNT(Dong3),"",OFFSET(TH!E$1,SMALL(Dong3,ROWS($1:79)),))</f>
        <v/>
      </c>
      <c r="C92" s="226" t="str">
        <f ca="1">IF(ROWS($1:79)&gt;COUNT(Dong3),"",IF(LEFT((OFFSET(TH!D$1,SMALL(Dong3,ROWS($1:79)),)),1)&lt;&gt;"N","",(OFFSET(TH!D$1,SMALL(Dong3,ROWS($1:79)),)&amp;"/"&amp;OFFSET(TH!C$1,SMALL(Dong3,ROWS($1:79)),))))</f>
        <v/>
      </c>
      <c r="D92" s="226" t="str">
        <f ca="1">IF(ROWS($1:79)&gt;COUNT(Dong3),"",IF(LEFT((OFFSET(TH!D$1,SMALL(Dong3,ROWS($1:79)),)),1)&lt;&gt;"X","",(OFFSET(TH!D$1,SMALL(Dong3,ROWS($1:79)),)&amp;"/"&amp;OFFSET(TH!C$1,SMALL(Dong3,ROWS($1:79)),))))</f>
        <v/>
      </c>
      <c r="E92" s="227" t="str">
        <f ca="1">IF(ROWS($1:79)&gt;COUNT(Dong3),"",OFFSET(TH!F$1,SMALL(Dong3,ROWS($1:79)),))</f>
        <v/>
      </c>
      <c r="F92" s="226" t="str">
        <f t="shared" ca="1" si="7"/>
        <v/>
      </c>
      <c r="G92" s="228">
        <f ca="1">IF(ROWS($1:79)&gt;COUNT(Dong3),0,IF(OFFSET(TH!K$1,SMALL(Dong3,ROWS($1:79)),)&lt;&gt;0,OFFSET(TH!K$1,SMALL(Dong3,ROWS($1:79)),),0))</f>
        <v>0</v>
      </c>
      <c r="H92" s="228">
        <f ca="1">IF(ROWS($1:79)&gt;COUNT(Dong3),0,IF(OFFSET(TH!M$1,SMALL(Dong3,ROWS($1:79)),)&lt;&gt;0,OFFSET(TH!M$1,SMALL(Dong3,ROWS($1:79)),),0))</f>
        <v>0</v>
      </c>
      <c r="I92" s="127">
        <f t="shared" ca="1" si="8"/>
        <v>0</v>
      </c>
      <c r="J92" s="130"/>
      <c r="K92" s="213"/>
    </row>
    <row r="93" spans="1:11" ht="16.5" customHeight="1">
      <c r="A93" s="129" t="str">
        <f t="shared" ca="1" si="6"/>
        <v/>
      </c>
      <c r="B93" s="226" t="str">
        <f ca="1">IF(ROWS($1:80)&gt;COUNT(Dong3),"",OFFSET(TH!E$1,SMALL(Dong3,ROWS($1:80)),))</f>
        <v/>
      </c>
      <c r="C93" s="226" t="str">
        <f ca="1">IF(ROWS($1:80)&gt;COUNT(Dong3),"",IF(LEFT((OFFSET(TH!D$1,SMALL(Dong3,ROWS($1:80)),)),1)&lt;&gt;"N","",(OFFSET(TH!D$1,SMALL(Dong3,ROWS($1:80)),)&amp;"/"&amp;OFFSET(TH!C$1,SMALL(Dong3,ROWS($1:80)),))))</f>
        <v/>
      </c>
      <c r="D93" s="226" t="str">
        <f ca="1">IF(ROWS($1:80)&gt;COUNT(Dong3),"",IF(LEFT((OFFSET(TH!D$1,SMALL(Dong3,ROWS($1:80)),)),1)&lt;&gt;"X","",(OFFSET(TH!D$1,SMALL(Dong3,ROWS($1:80)),)&amp;"/"&amp;OFFSET(TH!C$1,SMALL(Dong3,ROWS($1:80)),))))</f>
        <v/>
      </c>
      <c r="E93" s="227" t="str">
        <f ca="1">IF(ROWS($1:80)&gt;COUNT(Dong3),"",OFFSET(TH!F$1,SMALL(Dong3,ROWS($1:80)),))</f>
        <v/>
      </c>
      <c r="F93" s="226" t="str">
        <f t="shared" ca="1" si="7"/>
        <v/>
      </c>
      <c r="G93" s="228">
        <f ca="1">IF(ROWS($1:80)&gt;COUNT(Dong3),0,IF(OFFSET(TH!K$1,SMALL(Dong3,ROWS($1:80)),)&lt;&gt;0,OFFSET(TH!K$1,SMALL(Dong3,ROWS($1:80)),),0))</f>
        <v>0</v>
      </c>
      <c r="H93" s="228">
        <f ca="1">IF(ROWS($1:80)&gt;COUNT(Dong3),0,IF(OFFSET(TH!M$1,SMALL(Dong3,ROWS($1:80)),)&lt;&gt;0,OFFSET(TH!M$1,SMALL(Dong3,ROWS($1:80)),),0))</f>
        <v>0</v>
      </c>
      <c r="I93" s="127">
        <f t="shared" ca="1" si="8"/>
        <v>0</v>
      </c>
      <c r="J93" s="130"/>
      <c r="K93" s="213"/>
    </row>
    <row r="94" spans="1:11" ht="16.5" customHeight="1">
      <c r="A94" s="129" t="str">
        <f t="shared" ca="1" si="6"/>
        <v/>
      </c>
      <c r="B94" s="226" t="str">
        <f ca="1">IF(ROWS($1:81)&gt;COUNT(Dong3),"",OFFSET(TH!E$1,SMALL(Dong3,ROWS($1:81)),))</f>
        <v/>
      </c>
      <c r="C94" s="226" t="str">
        <f ca="1">IF(ROWS($1:81)&gt;COUNT(Dong3),"",IF(LEFT((OFFSET(TH!D$1,SMALL(Dong3,ROWS($1:81)),)),1)&lt;&gt;"N","",(OFFSET(TH!D$1,SMALL(Dong3,ROWS($1:81)),)&amp;"/"&amp;OFFSET(TH!C$1,SMALL(Dong3,ROWS($1:81)),))))</f>
        <v/>
      </c>
      <c r="D94" s="226" t="str">
        <f ca="1">IF(ROWS($1:81)&gt;COUNT(Dong3),"",IF(LEFT((OFFSET(TH!D$1,SMALL(Dong3,ROWS($1:81)),)),1)&lt;&gt;"X","",(OFFSET(TH!D$1,SMALL(Dong3,ROWS($1:81)),)&amp;"/"&amp;OFFSET(TH!C$1,SMALL(Dong3,ROWS($1:81)),))))</f>
        <v/>
      </c>
      <c r="E94" s="227" t="str">
        <f ca="1">IF(ROWS($1:81)&gt;COUNT(Dong3),"",OFFSET(TH!F$1,SMALL(Dong3,ROWS($1:81)),))</f>
        <v/>
      </c>
      <c r="F94" s="226" t="str">
        <f t="shared" ca="1" si="7"/>
        <v/>
      </c>
      <c r="G94" s="228">
        <f ca="1">IF(ROWS($1:81)&gt;COUNT(Dong3),0,IF(OFFSET(TH!K$1,SMALL(Dong3,ROWS($1:81)),)&lt;&gt;0,OFFSET(TH!K$1,SMALL(Dong3,ROWS($1:81)),),0))</f>
        <v>0</v>
      </c>
      <c r="H94" s="228">
        <f ca="1">IF(ROWS($1:81)&gt;COUNT(Dong3),0,IF(OFFSET(TH!M$1,SMALL(Dong3,ROWS($1:81)),)&lt;&gt;0,OFFSET(TH!M$1,SMALL(Dong3,ROWS($1:81)),),0))</f>
        <v>0</v>
      </c>
      <c r="I94" s="127">
        <f t="shared" ca="1" si="8"/>
        <v>0</v>
      </c>
      <c r="J94" s="130"/>
      <c r="K94" s="213"/>
    </row>
    <row r="95" spans="1:11" ht="16.5" customHeight="1">
      <c r="A95" s="129" t="str">
        <f t="shared" ca="1" si="6"/>
        <v/>
      </c>
      <c r="B95" s="226" t="str">
        <f ca="1">IF(ROWS($1:82)&gt;COUNT(Dong3),"",OFFSET(TH!E$1,SMALL(Dong3,ROWS($1:82)),))</f>
        <v/>
      </c>
      <c r="C95" s="226" t="str">
        <f ca="1">IF(ROWS($1:82)&gt;COUNT(Dong3),"",IF(LEFT((OFFSET(TH!D$1,SMALL(Dong3,ROWS($1:82)),)),1)&lt;&gt;"N","",(OFFSET(TH!D$1,SMALL(Dong3,ROWS($1:82)),)&amp;"/"&amp;OFFSET(TH!C$1,SMALL(Dong3,ROWS($1:82)),))))</f>
        <v/>
      </c>
      <c r="D95" s="226" t="str">
        <f ca="1">IF(ROWS($1:82)&gt;COUNT(Dong3),"",IF(LEFT((OFFSET(TH!D$1,SMALL(Dong3,ROWS($1:82)),)),1)&lt;&gt;"X","",(OFFSET(TH!D$1,SMALL(Dong3,ROWS($1:82)),)&amp;"/"&amp;OFFSET(TH!C$1,SMALL(Dong3,ROWS($1:82)),))))</f>
        <v/>
      </c>
      <c r="E95" s="227" t="str">
        <f ca="1">IF(ROWS($1:82)&gt;COUNT(Dong3),"",OFFSET(TH!F$1,SMALL(Dong3,ROWS($1:82)),))</f>
        <v/>
      </c>
      <c r="F95" s="226" t="str">
        <f t="shared" ca="1" si="7"/>
        <v/>
      </c>
      <c r="G95" s="228">
        <f ca="1">IF(ROWS($1:82)&gt;COUNT(Dong3),0,IF(OFFSET(TH!K$1,SMALL(Dong3,ROWS($1:82)),)&lt;&gt;0,OFFSET(TH!K$1,SMALL(Dong3,ROWS($1:82)),),0))</f>
        <v>0</v>
      </c>
      <c r="H95" s="228">
        <f ca="1">IF(ROWS($1:82)&gt;COUNT(Dong3),0,IF(OFFSET(TH!M$1,SMALL(Dong3,ROWS($1:82)),)&lt;&gt;0,OFFSET(TH!M$1,SMALL(Dong3,ROWS($1:82)),),0))</f>
        <v>0</v>
      </c>
      <c r="I95" s="127">
        <f t="shared" ca="1" si="8"/>
        <v>0</v>
      </c>
      <c r="J95" s="130"/>
      <c r="K95" s="213"/>
    </row>
    <row r="96" spans="1:11" ht="16.5" customHeight="1">
      <c r="A96" s="129" t="str">
        <f t="shared" ca="1" si="6"/>
        <v/>
      </c>
      <c r="B96" s="226" t="str">
        <f ca="1">IF(ROWS($1:83)&gt;COUNT(Dong3),"",OFFSET(TH!E$1,SMALL(Dong3,ROWS($1:83)),))</f>
        <v/>
      </c>
      <c r="C96" s="226" t="str">
        <f ca="1">IF(ROWS($1:83)&gt;COUNT(Dong3),"",IF(LEFT((OFFSET(TH!D$1,SMALL(Dong3,ROWS($1:83)),)),1)&lt;&gt;"N","",(OFFSET(TH!D$1,SMALL(Dong3,ROWS($1:83)),)&amp;"/"&amp;OFFSET(TH!C$1,SMALL(Dong3,ROWS($1:83)),))))</f>
        <v/>
      </c>
      <c r="D96" s="226" t="str">
        <f ca="1">IF(ROWS($1:83)&gt;COUNT(Dong3),"",IF(LEFT((OFFSET(TH!D$1,SMALL(Dong3,ROWS($1:83)),)),1)&lt;&gt;"X","",(OFFSET(TH!D$1,SMALL(Dong3,ROWS($1:83)),)&amp;"/"&amp;OFFSET(TH!C$1,SMALL(Dong3,ROWS($1:83)),))))</f>
        <v/>
      </c>
      <c r="E96" s="227" t="str">
        <f ca="1">IF(ROWS($1:83)&gt;COUNT(Dong3),"",OFFSET(TH!F$1,SMALL(Dong3,ROWS($1:83)),))</f>
        <v/>
      </c>
      <c r="F96" s="226" t="str">
        <f t="shared" ca="1" si="7"/>
        <v/>
      </c>
      <c r="G96" s="228">
        <f ca="1">IF(ROWS($1:83)&gt;COUNT(Dong3),0,IF(OFFSET(TH!K$1,SMALL(Dong3,ROWS($1:83)),)&lt;&gt;0,OFFSET(TH!K$1,SMALL(Dong3,ROWS($1:83)),),0))</f>
        <v>0</v>
      </c>
      <c r="H96" s="228">
        <f ca="1">IF(ROWS($1:83)&gt;COUNT(Dong3),0,IF(OFFSET(TH!M$1,SMALL(Dong3,ROWS($1:83)),)&lt;&gt;0,OFFSET(TH!M$1,SMALL(Dong3,ROWS($1:83)),),0))</f>
        <v>0</v>
      </c>
      <c r="I96" s="127">
        <f t="shared" ca="1" si="8"/>
        <v>0</v>
      </c>
      <c r="J96" s="130"/>
      <c r="K96" s="213"/>
    </row>
    <row r="97" spans="1:11" ht="16.5" customHeight="1">
      <c r="A97" s="129" t="str">
        <f t="shared" ca="1" si="6"/>
        <v/>
      </c>
      <c r="B97" s="226" t="str">
        <f ca="1">IF(ROWS($1:84)&gt;COUNT(Dong3),"",OFFSET(TH!E$1,SMALL(Dong3,ROWS($1:84)),))</f>
        <v/>
      </c>
      <c r="C97" s="226" t="str">
        <f ca="1">IF(ROWS($1:84)&gt;COUNT(Dong3),"",IF(LEFT((OFFSET(TH!D$1,SMALL(Dong3,ROWS($1:84)),)),1)&lt;&gt;"N","",(OFFSET(TH!D$1,SMALL(Dong3,ROWS($1:84)),)&amp;"/"&amp;OFFSET(TH!C$1,SMALL(Dong3,ROWS($1:84)),))))</f>
        <v/>
      </c>
      <c r="D97" s="226" t="str">
        <f ca="1">IF(ROWS($1:84)&gt;COUNT(Dong3),"",IF(LEFT((OFFSET(TH!D$1,SMALL(Dong3,ROWS($1:84)),)),1)&lt;&gt;"X","",(OFFSET(TH!D$1,SMALL(Dong3,ROWS($1:84)),)&amp;"/"&amp;OFFSET(TH!C$1,SMALL(Dong3,ROWS($1:84)),))))</f>
        <v/>
      </c>
      <c r="E97" s="227" t="str">
        <f ca="1">IF(ROWS($1:84)&gt;COUNT(Dong3),"",OFFSET(TH!F$1,SMALL(Dong3,ROWS($1:84)),))</f>
        <v/>
      </c>
      <c r="F97" s="226" t="str">
        <f t="shared" ca="1" si="7"/>
        <v/>
      </c>
      <c r="G97" s="228">
        <f ca="1">IF(ROWS($1:84)&gt;COUNT(Dong3),0,IF(OFFSET(TH!K$1,SMALL(Dong3,ROWS($1:84)),)&lt;&gt;0,OFFSET(TH!K$1,SMALL(Dong3,ROWS($1:84)),),0))</f>
        <v>0</v>
      </c>
      <c r="H97" s="228">
        <f ca="1">IF(ROWS($1:84)&gt;COUNT(Dong3),0,IF(OFFSET(TH!M$1,SMALL(Dong3,ROWS($1:84)),)&lt;&gt;0,OFFSET(TH!M$1,SMALL(Dong3,ROWS($1:84)),),0))</f>
        <v>0</v>
      </c>
      <c r="I97" s="127">
        <f t="shared" ca="1" si="8"/>
        <v>0</v>
      </c>
      <c r="J97" s="130"/>
      <c r="K97" s="213"/>
    </row>
    <row r="98" spans="1:11" ht="16.5" customHeight="1">
      <c r="A98" s="129" t="str">
        <f t="shared" ca="1" si="6"/>
        <v/>
      </c>
      <c r="B98" s="226" t="str">
        <f ca="1">IF(ROWS($1:85)&gt;COUNT(Dong3),"",OFFSET(TH!E$1,SMALL(Dong3,ROWS($1:85)),))</f>
        <v/>
      </c>
      <c r="C98" s="226" t="str">
        <f ca="1">IF(ROWS($1:85)&gt;COUNT(Dong3),"",IF(LEFT((OFFSET(TH!D$1,SMALL(Dong3,ROWS($1:85)),)),1)&lt;&gt;"N","",(OFFSET(TH!D$1,SMALL(Dong3,ROWS($1:85)),)&amp;"/"&amp;OFFSET(TH!C$1,SMALL(Dong3,ROWS($1:85)),))))</f>
        <v/>
      </c>
      <c r="D98" s="226" t="str">
        <f ca="1">IF(ROWS($1:85)&gt;COUNT(Dong3),"",IF(LEFT((OFFSET(TH!D$1,SMALL(Dong3,ROWS($1:85)),)),1)&lt;&gt;"X","",(OFFSET(TH!D$1,SMALL(Dong3,ROWS($1:85)),)&amp;"/"&amp;OFFSET(TH!C$1,SMALL(Dong3,ROWS($1:85)),))))</f>
        <v/>
      </c>
      <c r="E98" s="227" t="str">
        <f ca="1">IF(ROWS($1:85)&gt;COUNT(Dong3),"",OFFSET(TH!F$1,SMALL(Dong3,ROWS($1:85)),))</f>
        <v/>
      </c>
      <c r="F98" s="226" t="str">
        <f t="shared" ca="1" si="7"/>
        <v/>
      </c>
      <c r="G98" s="228">
        <f ca="1">IF(ROWS($1:85)&gt;COUNT(Dong3),0,IF(OFFSET(TH!K$1,SMALL(Dong3,ROWS($1:85)),)&lt;&gt;0,OFFSET(TH!K$1,SMALL(Dong3,ROWS($1:85)),),0))</f>
        <v>0</v>
      </c>
      <c r="H98" s="228">
        <f ca="1">IF(ROWS($1:85)&gt;COUNT(Dong3),0,IF(OFFSET(TH!M$1,SMALL(Dong3,ROWS($1:85)),)&lt;&gt;0,OFFSET(TH!M$1,SMALL(Dong3,ROWS($1:85)),),0))</f>
        <v>0</v>
      </c>
      <c r="I98" s="127">
        <f t="shared" ca="1" si="8"/>
        <v>0</v>
      </c>
      <c r="J98" s="130"/>
      <c r="K98" s="213"/>
    </row>
    <row r="99" spans="1:11" ht="16.5" customHeight="1">
      <c r="A99" s="129" t="str">
        <f t="shared" ca="1" si="6"/>
        <v/>
      </c>
      <c r="B99" s="226" t="str">
        <f ca="1">IF(ROWS($1:86)&gt;COUNT(Dong3),"",OFFSET(TH!E$1,SMALL(Dong3,ROWS($1:86)),))</f>
        <v/>
      </c>
      <c r="C99" s="226" t="str">
        <f ca="1">IF(ROWS($1:86)&gt;COUNT(Dong3),"",IF(LEFT((OFFSET(TH!D$1,SMALL(Dong3,ROWS($1:86)),)),1)&lt;&gt;"N","",(OFFSET(TH!D$1,SMALL(Dong3,ROWS($1:86)),)&amp;"/"&amp;OFFSET(TH!C$1,SMALL(Dong3,ROWS($1:86)),))))</f>
        <v/>
      </c>
      <c r="D99" s="226" t="str">
        <f ca="1">IF(ROWS($1:86)&gt;COUNT(Dong3),"",IF(LEFT((OFFSET(TH!D$1,SMALL(Dong3,ROWS($1:86)),)),1)&lt;&gt;"X","",(OFFSET(TH!D$1,SMALL(Dong3,ROWS($1:86)),)&amp;"/"&amp;OFFSET(TH!C$1,SMALL(Dong3,ROWS($1:86)),))))</f>
        <v/>
      </c>
      <c r="E99" s="227" t="str">
        <f ca="1">IF(ROWS($1:86)&gt;COUNT(Dong3),"",OFFSET(TH!F$1,SMALL(Dong3,ROWS($1:86)),))</f>
        <v/>
      </c>
      <c r="F99" s="226" t="str">
        <f t="shared" ca="1" si="7"/>
        <v/>
      </c>
      <c r="G99" s="228">
        <f ca="1">IF(ROWS($1:86)&gt;COUNT(Dong3),0,IF(OFFSET(TH!K$1,SMALL(Dong3,ROWS($1:86)),)&lt;&gt;0,OFFSET(TH!K$1,SMALL(Dong3,ROWS($1:86)),),0))</f>
        <v>0</v>
      </c>
      <c r="H99" s="228">
        <f ca="1">IF(ROWS($1:86)&gt;COUNT(Dong3),0,IF(OFFSET(TH!M$1,SMALL(Dong3,ROWS($1:86)),)&lt;&gt;0,OFFSET(TH!M$1,SMALL(Dong3,ROWS($1:86)),),0))</f>
        <v>0</v>
      </c>
      <c r="I99" s="127">
        <f t="shared" ca="1" si="8"/>
        <v>0</v>
      </c>
      <c r="J99" s="130"/>
      <c r="K99" s="213"/>
    </row>
    <row r="100" spans="1:11" ht="16.5" customHeight="1">
      <c r="A100" s="129" t="str">
        <f t="shared" ca="1" si="6"/>
        <v/>
      </c>
      <c r="B100" s="226" t="str">
        <f ca="1">IF(ROWS($1:87)&gt;COUNT(Dong3),"",OFFSET(TH!E$1,SMALL(Dong3,ROWS($1:87)),))</f>
        <v/>
      </c>
      <c r="C100" s="226" t="str">
        <f ca="1">IF(ROWS($1:87)&gt;COUNT(Dong3),"",IF(LEFT((OFFSET(TH!D$1,SMALL(Dong3,ROWS($1:87)),)),1)&lt;&gt;"N","",(OFFSET(TH!D$1,SMALL(Dong3,ROWS($1:87)),)&amp;"/"&amp;OFFSET(TH!C$1,SMALL(Dong3,ROWS($1:87)),))))</f>
        <v/>
      </c>
      <c r="D100" s="226" t="str">
        <f ca="1">IF(ROWS($1:87)&gt;COUNT(Dong3),"",IF(LEFT((OFFSET(TH!D$1,SMALL(Dong3,ROWS($1:87)),)),1)&lt;&gt;"X","",(OFFSET(TH!D$1,SMALL(Dong3,ROWS($1:87)),)&amp;"/"&amp;OFFSET(TH!C$1,SMALL(Dong3,ROWS($1:87)),))))</f>
        <v/>
      </c>
      <c r="E100" s="227" t="str">
        <f ca="1">IF(ROWS($1:87)&gt;COUNT(Dong3),"",OFFSET(TH!F$1,SMALL(Dong3,ROWS($1:87)),))</f>
        <v/>
      </c>
      <c r="F100" s="226" t="str">
        <f t="shared" ca="1" si="7"/>
        <v/>
      </c>
      <c r="G100" s="228">
        <f ca="1">IF(ROWS($1:87)&gt;COUNT(Dong3),0,IF(OFFSET(TH!K$1,SMALL(Dong3,ROWS($1:87)),)&lt;&gt;0,OFFSET(TH!K$1,SMALL(Dong3,ROWS($1:87)),),0))</f>
        <v>0</v>
      </c>
      <c r="H100" s="228">
        <f ca="1">IF(ROWS($1:87)&gt;COUNT(Dong3),0,IF(OFFSET(TH!M$1,SMALL(Dong3,ROWS($1:87)),)&lt;&gt;0,OFFSET(TH!M$1,SMALL(Dong3,ROWS($1:87)),),0))</f>
        <v>0</v>
      </c>
      <c r="I100" s="127">
        <f t="shared" ca="1" si="8"/>
        <v>0</v>
      </c>
      <c r="J100" s="130"/>
      <c r="K100" s="213"/>
    </row>
    <row r="101" spans="1:11" ht="16.5" customHeight="1">
      <c r="A101" s="129" t="str">
        <f t="shared" ca="1" si="6"/>
        <v/>
      </c>
      <c r="B101" s="226" t="str">
        <f ca="1">IF(ROWS($1:88)&gt;COUNT(Dong3),"",OFFSET(TH!E$1,SMALL(Dong3,ROWS($1:88)),))</f>
        <v/>
      </c>
      <c r="C101" s="226" t="str">
        <f ca="1">IF(ROWS($1:88)&gt;COUNT(Dong3),"",IF(LEFT((OFFSET(TH!D$1,SMALL(Dong3,ROWS($1:88)),)),1)&lt;&gt;"N","",(OFFSET(TH!D$1,SMALL(Dong3,ROWS($1:88)),)&amp;"/"&amp;OFFSET(TH!C$1,SMALL(Dong3,ROWS($1:88)),))))</f>
        <v/>
      </c>
      <c r="D101" s="226" t="str">
        <f ca="1">IF(ROWS($1:88)&gt;COUNT(Dong3),"",IF(LEFT((OFFSET(TH!D$1,SMALL(Dong3,ROWS($1:88)),)),1)&lt;&gt;"X","",(OFFSET(TH!D$1,SMALL(Dong3,ROWS($1:88)),)&amp;"/"&amp;OFFSET(TH!C$1,SMALL(Dong3,ROWS($1:88)),))))</f>
        <v/>
      </c>
      <c r="E101" s="227" t="str">
        <f ca="1">IF(ROWS($1:88)&gt;COUNT(Dong3),"",OFFSET(TH!F$1,SMALL(Dong3,ROWS($1:88)),))</f>
        <v/>
      </c>
      <c r="F101" s="226" t="str">
        <f t="shared" ca="1" si="7"/>
        <v/>
      </c>
      <c r="G101" s="228">
        <f ca="1">IF(ROWS($1:88)&gt;COUNT(Dong3),0,IF(OFFSET(TH!K$1,SMALL(Dong3,ROWS($1:88)),)&lt;&gt;0,OFFSET(TH!K$1,SMALL(Dong3,ROWS($1:88)),),0))</f>
        <v>0</v>
      </c>
      <c r="H101" s="228">
        <f ca="1">IF(ROWS($1:88)&gt;COUNT(Dong3),0,IF(OFFSET(TH!M$1,SMALL(Dong3,ROWS($1:88)),)&lt;&gt;0,OFFSET(TH!M$1,SMALL(Dong3,ROWS($1:88)),),0))</f>
        <v>0</v>
      </c>
      <c r="I101" s="127">
        <f t="shared" ca="1" si="8"/>
        <v>0</v>
      </c>
      <c r="J101" s="130"/>
      <c r="K101" s="213"/>
    </row>
    <row r="102" spans="1:11" ht="16.5" customHeight="1">
      <c r="A102" s="129" t="str">
        <f t="shared" ca="1" si="6"/>
        <v/>
      </c>
      <c r="B102" s="226" t="str">
        <f ca="1">IF(ROWS($1:89)&gt;COUNT(Dong3),"",OFFSET(TH!E$1,SMALL(Dong3,ROWS($1:89)),))</f>
        <v/>
      </c>
      <c r="C102" s="226" t="str">
        <f ca="1">IF(ROWS($1:89)&gt;COUNT(Dong3),"",IF(LEFT((OFFSET(TH!D$1,SMALL(Dong3,ROWS($1:89)),)),1)&lt;&gt;"N","",(OFFSET(TH!D$1,SMALL(Dong3,ROWS($1:89)),)&amp;"/"&amp;OFFSET(TH!C$1,SMALL(Dong3,ROWS($1:89)),))))</f>
        <v/>
      </c>
      <c r="D102" s="226" t="str">
        <f ca="1">IF(ROWS($1:89)&gt;COUNT(Dong3),"",IF(LEFT((OFFSET(TH!D$1,SMALL(Dong3,ROWS($1:89)),)),1)&lt;&gt;"X","",(OFFSET(TH!D$1,SMALL(Dong3,ROWS($1:89)),)&amp;"/"&amp;OFFSET(TH!C$1,SMALL(Dong3,ROWS($1:89)),))))</f>
        <v/>
      </c>
      <c r="E102" s="227" t="str">
        <f ca="1">IF(ROWS($1:89)&gt;COUNT(Dong3),"",OFFSET(TH!F$1,SMALL(Dong3,ROWS($1:89)),))</f>
        <v/>
      </c>
      <c r="F102" s="226" t="str">
        <f t="shared" ca="1" si="7"/>
        <v/>
      </c>
      <c r="G102" s="228">
        <f ca="1">IF(ROWS($1:89)&gt;COUNT(Dong3),0,IF(OFFSET(TH!K$1,SMALL(Dong3,ROWS($1:89)),)&lt;&gt;0,OFFSET(TH!K$1,SMALL(Dong3,ROWS($1:89)),),0))</f>
        <v>0</v>
      </c>
      <c r="H102" s="228">
        <f ca="1">IF(ROWS($1:89)&gt;COUNT(Dong3),0,IF(OFFSET(TH!M$1,SMALL(Dong3,ROWS($1:89)),)&lt;&gt;0,OFFSET(TH!M$1,SMALL(Dong3,ROWS($1:89)),),0))</f>
        <v>0</v>
      </c>
      <c r="I102" s="127">
        <f t="shared" ca="1" si="8"/>
        <v>0</v>
      </c>
      <c r="J102" s="130"/>
      <c r="K102" s="213"/>
    </row>
    <row r="103" spans="1:11" ht="16.5" customHeight="1">
      <c r="A103" s="129" t="str">
        <f t="shared" ca="1" si="6"/>
        <v/>
      </c>
      <c r="B103" s="226" t="str">
        <f ca="1">IF(ROWS($1:90)&gt;COUNT(Dong3),"",OFFSET(TH!E$1,SMALL(Dong3,ROWS($1:90)),))</f>
        <v/>
      </c>
      <c r="C103" s="226" t="str">
        <f ca="1">IF(ROWS($1:90)&gt;COUNT(Dong3),"",IF(LEFT((OFFSET(TH!D$1,SMALL(Dong3,ROWS($1:90)),)),1)&lt;&gt;"N","",(OFFSET(TH!D$1,SMALL(Dong3,ROWS($1:90)),)&amp;"/"&amp;OFFSET(TH!C$1,SMALL(Dong3,ROWS($1:90)),))))</f>
        <v/>
      </c>
      <c r="D103" s="226" t="str">
        <f ca="1">IF(ROWS($1:90)&gt;COUNT(Dong3),"",IF(LEFT((OFFSET(TH!D$1,SMALL(Dong3,ROWS($1:90)),)),1)&lt;&gt;"X","",(OFFSET(TH!D$1,SMALL(Dong3,ROWS($1:90)),)&amp;"/"&amp;OFFSET(TH!C$1,SMALL(Dong3,ROWS($1:90)),))))</f>
        <v/>
      </c>
      <c r="E103" s="227" t="str">
        <f ca="1">IF(ROWS($1:90)&gt;COUNT(Dong3),"",OFFSET(TH!F$1,SMALL(Dong3,ROWS($1:90)),))</f>
        <v/>
      </c>
      <c r="F103" s="226" t="str">
        <f t="shared" ca="1" si="7"/>
        <v/>
      </c>
      <c r="G103" s="228">
        <f ca="1">IF(ROWS($1:90)&gt;COUNT(Dong3),0,IF(OFFSET(TH!K$1,SMALL(Dong3,ROWS($1:90)),)&lt;&gt;0,OFFSET(TH!K$1,SMALL(Dong3,ROWS($1:90)),),0))</f>
        <v>0</v>
      </c>
      <c r="H103" s="228">
        <f ca="1">IF(ROWS($1:90)&gt;COUNT(Dong3),0,IF(OFFSET(TH!M$1,SMALL(Dong3,ROWS($1:90)),)&lt;&gt;0,OFFSET(TH!M$1,SMALL(Dong3,ROWS($1:90)),),0))</f>
        <v>0</v>
      </c>
      <c r="I103" s="127">
        <f t="shared" ca="1" si="8"/>
        <v>0</v>
      </c>
      <c r="J103" s="130"/>
      <c r="K103" s="213"/>
    </row>
    <row r="104" spans="1:11" ht="16.5" customHeight="1">
      <c r="A104" s="129" t="str">
        <f t="shared" ca="1" si="6"/>
        <v/>
      </c>
      <c r="B104" s="226" t="str">
        <f ca="1">IF(ROWS($1:91)&gt;COUNT(Dong3),"",OFFSET(TH!E$1,SMALL(Dong3,ROWS($1:91)),))</f>
        <v/>
      </c>
      <c r="C104" s="226" t="str">
        <f ca="1">IF(ROWS($1:91)&gt;COUNT(Dong3),"",IF(LEFT((OFFSET(TH!D$1,SMALL(Dong3,ROWS($1:91)),)),1)&lt;&gt;"N","",(OFFSET(TH!D$1,SMALL(Dong3,ROWS($1:91)),)&amp;"/"&amp;OFFSET(TH!C$1,SMALL(Dong3,ROWS($1:91)),))))</f>
        <v/>
      </c>
      <c r="D104" s="226" t="str">
        <f ca="1">IF(ROWS($1:91)&gt;COUNT(Dong3),"",IF(LEFT((OFFSET(TH!D$1,SMALL(Dong3,ROWS($1:91)),)),1)&lt;&gt;"X","",(OFFSET(TH!D$1,SMALL(Dong3,ROWS($1:91)),)&amp;"/"&amp;OFFSET(TH!C$1,SMALL(Dong3,ROWS($1:91)),))))</f>
        <v/>
      </c>
      <c r="E104" s="227" t="str">
        <f ca="1">IF(ROWS($1:91)&gt;COUNT(Dong3),"",OFFSET(TH!F$1,SMALL(Dong3,ROWS($1:91)),))</f>
        <v/>
      </c>
      <c r="F104" s="226" t="str">
        <f t="shared" ca="1" si="7"/>
        <v/>
      </c>
      <c r="G104" s="228">
        <f ca="1">IF(ROWS($1:91)&gt;COUNT(Dong3),0,IF(OFFSET(TH!K$1,SMALL(Dong3,ROWS($1:91)),)&lt;&gt;0,OFFSET(TH!K$1,SMALL(Dong3,ROWS($1:91)),),0))</f>
        <v>0</v>
      </c>
      <c r="H104" s="228">
        <f ca="1">IF(ROWS($1:91)&gt;COUNT(Dong3),0,IF(OFFSET(TH!M$1,SMALL(Dong3,ROWS($1:91)),)&lt;&gt;0,OFFSET(TH!M$1,SMALL(Dong3,ROWS($1:91)),),0))</f>
        <v>0</v>
      </c>
      <c r="I104" s="127">
        <f t="shared" ca="1" si="8"/>
        <v>0</v>
      </c>
      <c r="J104" s="130"/>
      <c r="K104" s="213"/>
    </row>
    <row r="105" spans="1:11" ht="16.5" customHeight="1">
      <c r="A105" s="129" t="str">
        <f t="shared" ca="1" si="6"/>
        <v/>
      </c>
      <c r="B105" s="226" t="str">
        <f ca="1">IF(ROWS($1:92)&gt;COUNT(Dong3),"",OFFSET(TH!E$1,SMALL(Dong3,ROWS($1:92)),))</f>
        <v/>
      </c>
      <c r="C105" s="226" t="str">
        <f ca="1">IF(ROWS($1:92)&gt;COUNT(Dong3),"",IF(LEFT((OFFSET(TH!D$1,SMALL(Dong3,ROWS($1:92)),)),1)&lt;&gt;"N","",(OFFSET(TH!D$1,SMALL(Dong3,ROWS($1:92)),)&amp;"/"&amp;OFFSET(TH!C$1,SMALL(Dong3,ROWS($1:92)),))))</f>
        <v/>
      </c>
      <c r="D105" s="226" t="str">
        <f ca="1">IF(ROWS($1:92)&gt;COUNT(Dong3),"",IF(LEFT((OFFSET(TH!D$1,SMALL(Dong3,ROWS($1:92)),)),1)&lt;&gt;"X","",(OFFSET(TH!D$1,SMALL(Dong3,ROWS($1:92)),)&amp;"/"&amp;OFFSET(TH!C$1,SMALL(Dong3,ROWS($1:92)),))))</f>
        <v/>
      </c>
      <c r="E105" s="227" t="str">
        <f ca="1">IF(ROWS($1:92)&gt;COUNT(Dong3),"",OFFSET(TH!F$1,SMALL(Dong3,ROWS($1:92)),))</f>
        <v/>
      </c>
      <c r="F105" s="226" t="str">
        <f t="shared" ca="1" si="7"/>
        <v/>
      </c>
      <c r="G105" s="228">
        <f ca="1">IF(ROWS($1:92)&gt;COUNT(Dong3),0,IF(OFFSET(TH!K$1,SMALL(Dong3,ROWS($1:92)),)&lt;&gt;0,OFFSET(TH!K$1,SMALL(Dong3,ROWS($1:92)),),0))</f>
        <v>0</v>
      </c>
      <c r="H105" s="228">
        <f ca="1">IF(ROWS($1:92)&gt;COUNT(Dong3),0,IF(OFFSET(TH!M$1,SMALL(Dong3,ROWS($1:92)),)&lt;&gt;0,OFFSET(TH!M$1,SMALL(Dong3,ROWS($1:92)),),0))</f>
        <v>0</v>
      </c>
      <c r="I105" s="127">
        <f t="shared" ca="1" si="8"/>
        <v>0</v>
      </c>
      <c r="J105" s="130"/>
      <c r="K105" s="213"/>
    </row>
    <row r="106" spans="1:11" ht="16.5" customHeight="1">
      <c r="A106" s="129" t="str">
        <f t="shared" ca="1" si="6"/>
        <v/>
      </c>
      <c r="B106" s="226" t="str">
        <f ca="1">IF(ROWS($1:93)&gt;COUNT(Dong3),"",OFFSET(TH!E$1,SMALL(Dong3,ROWS($1:93)),))</f>
        <v/>
      </c>
      <c r="C106" s="226" t="str">
        <f ca="1">IF(ROWS($1:93)&gt;COUNT(Dong3),"",IF(LEFT((OFFSET(TH!D$1,SMALL(Dong3,ROWS($1:93)),)),1)&lt;&gt;"N","",(OFFSET(TH!D$1,SMALL(Dong3,ROWS($1:93)),)&amp;"/"&amp;OFFSET(TH!C$1,SMALL(Dong3,ROWS($1:93)),))))</f>
        <v/>
      </c>
      <c r="D106" s="226" t="str">
        <f ca="1">IF(ROWS($1:93)&gt;COUNT(Dong3),"",IF(LEFT((OFFSET(TH!D$1,SMALL(Dong3,ROWS($1:93)),)),1)&lt;&gt;"X","",(OFFSET(TH!D$1,SMALL(Dong3,ROWS($1:93)),)&amp;"/"&amp;OFFSET(TH!C$1,SMALL(Dong3,ROWS($1:93)),))))</f>
        <v/>
      </c>
      <c r="E106" s="227" t="str">
        <f ca="1">IF(ROWS($1:93)&gt;COUNT(Dong3),"",OFFSET(TH!F$1,SMALL(Dong3,ROWS($1:93)),))</f>
        <v/>
      </c>
      <c r="F106" s="226" t="str">
        <f t="shared" ca="1" si="7"/>
        <v/>
      </c>
      <c r="G106" s="228">
        <f ca="1">IF(ROWS($1:93)&gt;COUNT(Dong3),0,IF(OFFSET(TH!K$1,SMALL(Dong3,ROWS($1:93)),)&lt;&gt;0,OFFSET(TH!K$1,SMALL(Dong3,ROWS($1:93)),),0))</f>
        <v>0</v>
      </c>
      <c r="H106" s="228">
        <f ca="1">IF(ROWS($1:93)&gt;COUNT(Dong3),0,IF(OFFSET(TH!M$1,SMALL(Dong3,ROWS($1:93)),)&lt;&gt;0,OFFSET(TH!M$1,SMALL(Dong3,ROWS($1:93)),),0))</f>
        <v>0</v>
      </c>
      <c r="I106" s="127">
        <f t="shared" ca="1" si="8"/>
        <v>0</v>
      </c>
      <c r="J106" s="130"/>
      <c r="K106" s="213"/>
    </row>
    <row r="107" spans="1:11" ht="16.5" customHeight="1">
      <c r="A107" s="129" t="str">
        <f t="shared" ca="1" si="6"/>
        <v/>
      </c>
      <c r="B107" s="226" t="str">
        <f ca="1">IF(ROWS($1:94)&gt;COUNT(Dong3),"",OFFSET(TH!E$1,SMALL(Dong3,ROWS($1:94)),))</f>
        <v/>
      </c>
      <c r="C107" s="226" t="str">
        <f ca="1">IF(ROWS($1:94)&gt;COUNT(Dong3),"",IF(LEFT((OFFSET(TH!D$1,SMALL(Dong3,ROWS($1:94)),)),1)&lt;&gt;"N","",(OFFSET(TH!D$1,SMALL(Dong3,ROWS($1:94)),)&amp;"/"&amp;OFFSET(TH!C$1,SMALL(Dong3,ROWS($1:94)),))))</f>
        <v/>
      </c>
      <c r="D107" s="226" t="str">
        <f ca="1">IF(ROWS($1:94)&gt;COUNT(Dong3),"",IF(LEFT((OFFSET(TH!D$1,SMALL(Dong3,ROWS($1:94)),)),1)&lt;&gt;"X","",(OFFSET(TH!D$1,SMALL(Dong3,ROWS($1:94)),)&amp;"/"&amp;OFFSET(TH!C$1,SMALL(Dong3,ROWS($1:94)),))))</f>
        <v/>
      </c>
      <c r="E107" s="227" t="str">
        <f ca="1">IF(ROWS($1:94)&gt;COUNT(Dong3),"",OFFSET(TH!F$1,SMALL(Dong3,ROWS($1:94)),))</f>
        <v/>
      </c>
      <c r="F107" s="226" t="str">
        <f t="shared" ca="1" si="7"/>
        <v/>
      </c>
      <c r="G107" s="228">
        <f ca="1">IF(ROWS($1:94)&gt;COUNT(Dong3),0,IF(OFFSET(TH!K$1,SMALL(Dong3,ROWS($1:94)),)&lt;&gt;0,OFFSET(TH!K$1,SMALL(Dong3,ROWS($1:94)),),0))</f>
        <v>0</v>
      </c>
      <c r="H107" s="228">
        <f ca="1">IF(ROWS($1:94)&gt;COUNT(Dong3),0,IF(OFFSET(TH!M$1,SMALL(Dong3,ROWS($1:94)),)&lt;&gt;0,OFFSET(TH!M$1,SMALL(Dong3,ROWS($1:94)),),0))</f>
        <v>0</v>
      </c>
      <c r="I107" s="127">
        <f t="shared" ca="1" si="8"/>
        <v>0</v>
      </c>
      <c r="J107" s="130"/>
      <c r="K107" s="213"/>
    </row>
    <row r="108" spans="1:11" ht="16.5" customHeight="1">
      <c r="A108" s="129" t="str">
        <f t="shared" ca="1" si="6"/>
        <v/>
      </c>
      <c r="B108" s="226" t="str">
        <f ca="1">IF(ROWS($1:95)&gt;COUNT(Dong3),"",OFFSET(TH!E$1,SMALL(Dong3,ROWS($1:95)),))</f>
        <v/>
      </c>
      <c r="C108" s="226" t="str">
        <f ca="1">IF(ROWS($1:95)&gt;COUNT(Dong3),"",IF(LEFT((OFFSET(TH!D$1,SMALL(Dong3,ROWS($1:95)),)),1)&lt;&gt;"N","",(OFFSET(TH!D$1,SMALL(Dong3,ROWS($1:95)),)&amp;"/"&amp;OFFSET(TH!C$1,SMALL(Dong3,ROWS($1:95)),))))</f>
        <v/>
      </c>
      <c r="D108" s="226" t="str">
        <f ca="1">IF(ROWS($1:95)&gt;COUNT(Dong3),"",IF(LEFT((OFFSET(TH!D$1,SMALL(Dong3,ROWS($1:95)),)),1)&lt;&gt;"X","",(OFFSET(TH!D$1,SMALL(Dong3,ROWS($1:95)),)&amp;"/"&amp;OFFSET(TH!C$1,SMALL(Dong3,ROWS($1:95)),))))</f>
        <v/>
      </c>
      <c r="E108" s="227" t="str">
        <f ca="1">IF(ROWS($1:95)&gt;COUNT(Dong3),"",OFFSET(TH!F$1,SMALL(Dong3,ROWS($1:95)),))</f>
        <v/>
      </c>
      <c r="F108" s="226" t="str">
        <f t="shared" ca="1" si="7"/>
        <v/>
      </c>
      <c r="G108" s="228">
        <f ca="1">IF(ROWS($1:95)&gt;COUNT(Dong3),0,IF(OFFSET(TH!K$1,SMALL(Dong3,ROWS($1:95)),)&lt;&gt;0,OFFSET(TH!K$1,SMALL(Dong3,ROWS($1:95)),),0))</f>
        <v>0</v>
      </c>
      <c r="H108" s="228">
        <f ca="1">IF(ROWS($1:95)&gt;COUNT(Dong3),0,IF(OFFSET(TH!M$1,SMALL(Dong3,ROWS($1:95)),)&lt;&gt;0,OFFSET(TH!M$1,SMALL(Dong3,ROWS($1:95)),),0))</f>
        <v>0</v>
      </c>
      <c r="I108" s="127">
        <f t="shared" ca="1" si="8"/>
        <v>0</v>
      </c>
      <c r="J108" s="130"/>
      <c r="K108" s="213"/>
    </row>
    <row r="109" spans="1:11" ht="16.5" customHeight="1">
      <c r="A109" s="129" t="str">
        <f t="shared" ca="1" si="6"/>
        <v/>
      </c>
      <c r="B109" s="226" t="str">
        <f ca="1">IF(ROWS($1:96)&gt;COUNT(Dong3),"",OFFSET(TH!E$1,SMALL(Dong3,ROWS($1:96)),))</f>
        <v/>
      </c>
      <c r="C109" s="226" t="str">
        <f ca="1">IF(ROWS($1:96)&gt;COUNT(Dong3),"",IF(LEFT((OFFSET(TH!D$1,SMALL(Dong3,ROWS($1:96)),)),1)&lt;&gt;"N","",(OFFSET(TH!D$1,SMALL(Dong3,ROWS($1:96)),)&amp;"/"&amp;OFFSET(TH!C$1,SMALL(Dong3,ROWS($1:96)),))))</f>
        <v/>
      </c>
      <c r="D109" s="226" t="str">
        <f ca="1">IF(ROWS($1:96)&gt;COUNT(Dong3),"",IF(LEFT((OFFSET(TH!D$1,SMALL(Dong3,ROWS($1:96)),)),1)&lt;&gt;"X","",(OFFSET(TH!D$1,SMALL(Dong3,ROWS($1:96)),)&amp;"/"&amp;OFFSET(TH!C$1,SMALL(Dong3,ROWS($1:96)),))))</f>
        <v/>
      </c>
      <c r="E109" s="227" t="str">
        <f ca="1">IF(ROWS($1:96)&gt;COUNT(Dong3),"",OFFSET(TH!F$1,SMALL(Dong3,ROWS($1:96)),))</f>
        <v/>
      </c>
      <c r="F109" s="226" t="str">
        <f t="shared" ca="1" si="7"/>
        <v/>
      </c>
      <c r="G109" s="228">
        <f ca="1">IF(ROWS($1:96)&gt;COUNT(Dong3),0,IF(OFFSET(TH!K$1,SMALL(Dong3,ROWS($1:96)),)&lt;&gt;0,OFFSET(TH!K$1,SMALL(Dong3,ROWS($1:96)),),0))</f>
        <v>0</v>
      </c>
      <c r="H109" s="228">
        <f ca="1">IF(ROWS($1:96)&gt;COUNT(Dong3),0,IF(OFFSET(TH!M$1,SMALL(Dong3,ROWS($1:96)),)&lt;&gt;0,OFFSET(TH!M$1,SMALL(Dong3,ROWS($1:96)),),0))</f>
        <v>0</v>
      </c>
      <c r="I109" s="127">
        <f t="shared" ca="1" si="8"/>
        <v>0</v>
      </c>
      <c r="J109" s="130"/>
      <c r="K109" s="213"/>
    </row>
    <row r="110" spans="1:11" ht="16.5" customHeight="1">
      <c r="A110" s="129" t="str">
        <f t="shared" ca="1" si="6"/>
        <v/>
      </c>
      <c r="B110" s="226" t="str">
        <f ca="1">IF(ROWS($1:97)&gt;COUNT(Dong3),"",OFFSET(TH!E$1,SMALL(Dong3,ROWS($1:97)),))</f>
        <v/>
      </c>
      <c r="C110" s="226" t="str">
        <f ca="1">IF(ROWS($1:97)&gt;COUNT(Dong3),"",IF(LEFT((OFFSET(TH!D$1,SMALL(Dong3,ROWS($1:97)),)),1)&lt;&gt;"N","",(OFFSET(TH!D$1,SMALL(Dong3,ROWS($1:97)),)&amp;"/"&amp;OFFSET(TH!C$1,SMALL(Dong3,ROWS($1:97)),))))</f>
        <v/>
      </c>
      <c r="D110" s="226" t="str">
        <f ca="1">IF(ROWS($1:97)&gt;COUNT(Dong3),"",IF(LEFT((OFFSET(TH!D$1,SMALL(Dong3,ROWS($1:97)),)),1)&lt;&gt;"X","",(OFFSET(TH!D$1,SMALL(Dong3,ROWS($1:97)),)&amp;"/"&amp;OFFSET(TH!C$1,SMALL(Dong3,ROWS($1:97)),))))</f>
        <v/>
      </c>
      <c r="E110" s="227" t="str">
        <f ca="1">IF(ROWS($1:97)&gt;COUNT(Dong3),"",OFFSET(TH!F$1,SMALL(Dong3,ROWS($1:97)),))</f>
        <v/>
      </c>
      <c r="F110" s="226" t="str">
        <f t="shared" ca="1" si="7"/>
        <v/>
      </c>
      <c r="G110" s="228">
        <f ca="1">IF(ROWS($1:97)&gt;COUNT(Dong3),0,IF(OFFSET(TH!K$1,SMALL(Dong3,ROWS($1:97)),)&lt;&gt;0,OFFSET(TH!K$1,SMALL(Dong3,ROWS($1:97)),),0))</f>
        <v>0</v>
      </c>
      <c r="H110" s="228">
        <f ca="1">IF(ROWS($1:97)&gt;COUNT(Dong3),0,IF(OFFSET(TH!M$1,SMALL(Dong3,ROWS($1:97)),)&lt;&gt;0,OFFSET(TH!M$1,SMALL(Dong3,ROWS($1:97)),),0))</f>
        <v>0</v>
      </c>
      <c r="I110" s="127">
        <f t="shared" ca="1" si="8"/>
        <v>0</v>
      </c>
      <c r="J110" s="130"/>
      <c r="K110" s="213"/>
    </row>
    <row r="111" spans="1:11" ht="16.5" customHeight="1">
      <c r="A111" s="129" t="str">
        <f t="shared" ca="1" si="6"/>
        <v/>
      </c>
      <c r="B111" s="226" t="str">
        <f ca="1">IF(ROWS($1:98)&gt;COUNT(Dong3),"",OFFSET(TH!E$1,SMALL(Dong3,ROWS($1:98)),))</f>
        <v/>
      </c>
      <c r="C111" s="226" t="str">
        <f ca="1">IF(ROWS($1:98)&gt;COUNT(Dong3),"",IF(LEFT((OFFSET(TH!D$1,SMALL(Dong3,ROWS($1:98)),)),1)&lt;&gt;"N","",(OFFSET(TH!D$1,SMALL(Dong3,ROWS($1:98)),)&amp;"/"&amp;OFFSET(TH!C$1,SMALL(Dong3,ROWS($1:98)),))))</f>
        <v/>
      </c>
      <c r="D111" s="226" t="str">
        <f ca="1">IF(ROWS($1:98)&gt;COUNT(Dong3),"",IF(LEFT((OFFSET(TH!D$1,SMALL(Dong3,ROWS($1:98)),)),1)&lt;&gt;"X","",(OFFSET(TH!D$1,SMALL(Dong3,ROWS($1:98)),)&amp;"/"&amp;OFFSET(TH!C$1,SMALL(Dong3,ROWS($1:98)),))))</f>
        <v/>
      </c>
      <c r="E111" s="227" t="str">
        <f ca="1">IF(ROWS($1:98)&gt;COUNT(Dong3),"",OFFSET(TH!F$1,SMALL(Dong3,ROWS($1:98)),))</f>
        <v/>
      </c>
      <c r="F111" s="226" t="str">
        <f t="shared" ca="1" si="7"/>
        <v/>
      </c>
      <c r="G111" s="228">
        <f ca="1">IF(ROWS($1:98)&gt;COUNT(Dong3),0,IF(OFFSET(TH!K$1,SMALL(Dong3,ROWS($1:98)),)&lt;&gt;0,OFFSET(TH!K$1,SMALL(Dong3,ROWS($1:98)),),0))</f>
        <v>0</v>
      </c>
      <c r="H111" s="228">
        <f ca="1">IF(ROWS($1:98)&gt;COUNT(Dong3),0,IF(OFFSET(TH!M$1,SMALL(Dong3,ROWS($1:98)),)&lt;&gt;0,OFFSET(TH!M$1,SMALL(Dong3,ROWS($1:98)),),0))</f>
        <v>0</v>
      </c>
      <c r="I111" s="127">
        <f t="shared" ca="1" si="8"/>
        <v>0</v>
      </c>
      <c r="J111" s="130"/>
      <c r="K111" s="213"/>
    </row>
    <row r="112" spans="1:11" ht="16.5" customHeight="1">
      <c r="A112" s="129" t="str">
        <f t="shared" ca="1" si="6"/>
        <v/>
      </c>
      <c r="B112" s="226" t="str">
        <f ca="1">IF(ROWS($1:99)&gt;COUNT(Dong3),"",OFFSET(TH!E$1,SMALL(Dong3,ROWS($1:99)),))</f>
        <v/>
      </c>
      <c r="C112" s="226" t="str">
        <f ca="1">IF(ROWS($1:99)&gt;COUNT(Dong3),"",IF(LEFT((OFFSET(TH!D$1,SMALL(Dong3,ROWS($1:99)),)),1)&lt;&gt;"N","",(OFFSET(TH!D$1,SMALL(Dong3,ROWS($1:99)),)&amp;"/"&amp;OFFSET(TH!C$1,SMALL(Dong3,ROWS($1:99)),))))</f>
        <v/>
      </c>
      <c r="D112" s="226" t="str">
        <f ca="1">IF(ROWS($1:99)&gt;COUNT(Dong3),"",IF(LEFT((OFFSET(TH!D$1,SMALL(Dong3,ROWS($1:99)),)),1)&lt;&gt;"X","",(OFFSET(TH!D$1,SMALL(Dong3,ROWS($1:99)),)&amp;"/"&amp;OFFSET(TH!C$1,SMALL(Dong3,ROWS($1:99)),))))</f>
        <v/>
      </c>
      <c r="E112" s="227" t="str">
        <f ca="1">IF(ROWS($1:99)&gt;COUNT(Dong3),"",OFFSET(TH!F$1,SMALL(Dong3,ROWS($1:99)),))</f>
        <v/>
      </c>
      <c r="F112" s="226" t="str">
        <f t="shared" ca="1" si="7"/>
        <v/>
      </c>
      <c r="G112" s="228">
        <f ca="1">IF(ROWS($1:99)&gt;COUNT(Dong3),0,IF(OFFSET(TH!K$1,SMALL(Dong3,ROWS($1:99)),)&lt;&gt;0,OFFSET(TH!K$1,SMALL(Dong3,ROWS($1:99)),),0))</f>
        <v>0</v>
      </c>
      <c r="H112" s="228">
        <f ca="1">IF(ROWS($1:99)&gt;COUNT(Dong3),0,IF(OFFSET(TH!M$1,SMALL(Dong3,ROWS($1:99)),)&lt;&gt;0,OFFSET(TH!M$1,SMALL(Dong3,ROWS($1:99)),),0))</f>
        <v>0</v>
      </c>
      <c r="I112" s="127">
        <f t="shared" ca="1" si="8"/>
        <v>0</v>
      </c>
      <c r="J112" s="130"/>
      <c r="K112" s="213"/>
    </row>
    <row r="113" spans="1:11" ht="16.5" customHeight="1">
      <c r="A113" s="129" t="str">
        <f t="shared" ca="1" si="6"/>
        <v/>
      </c>
      <c r="B113" s="226" t="str">
        <f ca="1">IF(ROWS($1:100)&gt;COUNT(Dong3),"",OFFSET(TH!E$1,SMALL(Dong3,ROWS($1:100)),))</f>
        <v/>
      </c>
      <c r="C113" s="226" t="str">
        <f ca="1">IF(ROWS($1:100)&gt;COUNT(Dong3),"",IF(LEFT((OFFSET(TH!D$1,SMALL(Dong3,ROWS($1:100)),)),1)&lt;&gt;"N","",(OFFSET(TH!D$1,SMALL(Dong3,ROWS($1:100)),)&amp;"/"&amp;OFFSET(TH!C$1,SMALL(Dong3,ROWS($1:100)),))))</f>
        <v/>
      </c>
      <c r="D113" s="226" t="str">
        <f ca="1">IF(ROWS($1:100)&gt;COUNT(Dong3),"",IF(LEFT((OFFSET(TH!D$1,SMALL(Dong3,ROWS($1:100)),)),1)&lt;&gt;"X","",(OFFSET(TH!D$1,SMALL(Dong3,ROWS($1:100)),)&amp;"/"&amp;OFFSET(TH!C$1,SMALL(Dong3,ROWS($1:100)),))))</f>
        <v/>
      </c>
      <c r="E113" s="227" t="str">
        <f ca="1">IF(ROWS($1:100)&gt;COUNT(Dong3),"",OFFSET(TH!F$1,SMALL(Dong3,ROWS($1:100)),))</f>
        <v/>
      </c>
      <c r="F113" s="226" t="str">
        <f t="shared" ca="1" si="7"/>
        <v/>
      </c>
      <c r="G113" s="228">
        <f ca="1">IF(ROWS($1:100)&gt;COUNT(Dong3),0,IF(OFFSET(TH!K$1,SMALL(Dong3,ROWS($1:100)),)&lt;&gt;0,OFFSET(TH!K$1,SMALL(Dong3,ROWS($1:100)),),0))</f>
        <v>0</v>
      </c>
      <c r="H113" s="228">
        <f ca="1">IF(ROWS($1:100)&gt;COUNT(Dong3),0,IF(OFFSET(TH!M$1,SMALL(Dong3,ROWS($1:100)),)&lt;&gt;0,OFFSET(TH!M$1,SMALL(Dong3,ROWS($1:100)),),0))</f>
        <v>0</v>
      </c>
      <c r="I113" s="127">
        <f t="shared" ca="1" si="8"/>
        <v>0</v>
      </c>
      <c r="J113" s="130"/>
      <c r="K113" s="213"/>
    </row>
    <row r="114" spans="1:11" ht="16.5" customHeight="1">
      <c r="A114" s="129" t="str">
        <f t="shared" ca="1" si="6"/>
        <v/>
      </c>
      <c r="B114" s="226" t="str">
        <f ca="1">IF(ROWS($1:101)&gt;COUNT(Dong3),"",OFFSET(TH!E$1,SMALL(Dong3,ROWS($1:101)),))</f>
        <v/>
      </c>
      <c r="C114" s="226" t="str">
        <f ca="1">IF(ROWS($1:101)&gt;COUNT(Dong3),"",IF(LEFT((OFFSET(TH!D$1,SMALL(Dong3,ROWS($1:101)),)),1)&lt;&gt;"N","",(OFFSET(TH!D$1,SMALL(Dong3,ROWS($1:101)),)&amp;"/"&amp;OFFSET(TH!C$1,SMALL(Dong3,ROWS($1:101)),))))</f>
        <v/>
      </c>
      <c r="D114" s="226" t="str">
        <f ca="1">IF(ROWS($1:101)&gt;COUNT(Dong3),"",IF(LEFT((OFFSET(TH!D$1,SMALL(Dong3,ROWS($1:101)),)),1)&lt;&gt;"X","",(OFFSET(TH!D$1,SMALL(Dong3,ROWS($1:101)),)&amp;"/"&amp;OFFSET(TH!C$1,SMALL(Dong3,ROWS($1:101)),))))</f>
        <v/>
      </c>
      <c r="E114" s="227" t="str">
        <f ca="1">IF(ROWS($1:101)&gt;COUNT(Dong3),"",OFFSET(TH!F$1,SMALL(Dong3,ROWS($1:101)),))</f>
        <v/>
      </c>
      <c r="F114" s="226" t="str">
        <f t="shared" ca="1" si="7"/>
        <v/>
      </c>
      <c r="G114" s="228">
        <f ca="1">IF(ROWS($1:101)&gt;COUNT(Dong3),0,IF(OFFSET(TH!K$1,SMALL(Dong3,ROWS($1:101)),)&lt;&gt;0,OFFSET(TH!K$1,SMALL(Dong3,ROWS($1:101)),),0))</f>
        <v>0</v>
      </c>
      <c r="H114" s="228">
        <f ca="1">IF(ROWS($1:101)&gt;COUNT(Dong3),0,IF(OFFSET(TH!M$1,SMALL(Dong3,ROWS($1:101)),)&lt;&gt;0,OFFSET(TH!M$1,SMALL(Dong3,ROWS($1:101)),),0))</f>
        <v>0</v>
      </c>
      <c r="I114" s="127">
        <f t="shared" ca="1" si="8"/>
        <v>0</v>
      </c>
      <c r="J114" s="130"/>
      <c r="K114" s="213"/>
    </row>
    <row r="115" spans="1:11" ht="16.5" customHeight="1">
      <c r="A115" s="129" t="str">
        <f t="shared" ca="1" si="6"/>
        <v/>
      </c>
      <c r="B115" s="226" t="str">
        <f ca="1">IF(ROWS($1:102)&gt;COUNT(Dong3),"",OFFSET(TH!E$1,SMALL(Dong3,ROWS($1:102)),))</f>
        <v/>
      </c>
      <c r="C115" s="226" t="str">
        <f ca="1">IF(ROWS($1:102)&gt;COUNT(Dong3),"",IF(LEFT((OFFSET(TH!D$1,SMALL(Dong3,ROWS($1:102)),)),1)&lt;&gt;"N","",(OFFSET(TH!D$1,SMALL(Dong3,ROWS($1:102)),)&amp;"/"&amp;OFFSET(TH!C$1,SMALL(Dong3,ROWS($1:102)),))))</f>
        <v/>
      </c>
      <c r="D115" s="226" t="str">
        <f ca="1">IF(ROWS($1:102)&gt;COUNT(Dong3),"",IF(LEFT((OFFSET(TH!D$1,SMALL(Dong3,ROWS($1:102)),)),1)&lt;&gt;"X","",(OFFSET(TH!D$1,SMALL(Dong3,ROWS($1:102)),)&amp;"/"&amp;OFFSET(TH!C$1,SMALL(Dong3,ROWS($1:102)),))))</f>
        <v/>
      </c>
      <c r="E115" s="227" t="str">
        <f ca="1">IF(ROWS($1:102)&gt;COUNT(Dong3),"",OFFSET(TH!F$1,SMALL(Dong3,ROWS($1:102)),))</f>
        <v/>
      </c>
      <c r="F115" s="226" t="str">
        <f t="shared" ca="1" si="7"/>
        <v/>
      </c>
      <c r="G115" s="228">
        <f ca="1">IF(ROWS($1:102)&gt;COUNT(Dong3),0,IF(OFFSET(TH!K$1,SMALL(Dong3,ROWS($1:102)),)&lt;&gt;0,OFFSET(TH!K$1,SMALL(Dong3,ROWS($1:102)),),0))</f>
        <v>0</v>
      </c>
      <c r="H115" s="228">
        <f ca="1">IF(ROWS($1:102)&gt;COUNT(Dong3),0,IF(OFFSET(TH!M$1,SMALL(Dong3,ROWS($1:102)),)&lt;&gt;0,OFFSET(TH!M$1,SMALL(Dong3,ROWS($1:102)),),0))</f>
        <v>0</v>
      </c>
      <c r="I115" s="127">
        <f t="shared" ca="1" si="8"/>
        <v>0</v>
      </c>
      <c r="J115" s="130"/>
      <c r="K115" s="213"/>
    </row>
    <row r="116" spans="1:11" ht="16.5" customHeight="1">
      <c r="A116" s="129" t="str">
        <f t="shared" ca="1" si="6"/>
        <v/>
      </c>
      <c r="B116" s="226" t="str">
        <f ca="1">IF(ROWS($1:103)&gt;COUNT(Dong3),"",OFFSET(TH!E$1,SMALL(Dong3,ROWS($1:103)),))</f>
        <v/>
      </c>
      <c r="C116" s="226" t="str">
        <f ca="1">IF(ROWS($1:103)&gt;COUNT(Dong3),"",IF(LEFT((OFFSET(TH!D$1,SMALL(Dong3,ROWS($1:103)),)),1)&lt;&gt;"N","",(OFFSET(TH!D$1,SMALL(Dong3,ROWS($1:103)),)&amp;"/"&amp;OFFSET(TH!C$1,SMALL(Dong3,ROWS($1:103)),))))</f>
        <v/>
      </c>
      <c r="D116" s="226" t="str">
        <f ca="1">IF(ROWS($1:103)&gt;COUNT(Dong3),"",IF(LEFT((OFFSET(TH!D$1,SMALL(Dong3,ROWS($1:103)),)),1)&lt;&gt;"X","",(OFFSET(TH!D$1,SMALL(Dong3,ROWS($1:103)),)&amp;"/"&amp;OFFSET(TH!C$1,SMALL(Dong3,ROWS($1:103)),))))</f>
        <v/>
      </c>
      <c r="E116" s="227" t="str">
        <f ca="1">IF(ROWS($1:103)&gt;COUNT(Dong3),"",OFFSET(TH!F$1,SMALL(Dong3,ROWS($1:103)),))</f>
        <v/>
      </c>
      <c r="F116" s="226" t="str">
        <f t="shared" ca="1" si="7"/>
        <v/>
      </c>
      <c r="G116" s="228">
        <f ca="1">IF(ROWS($1:103)&gt;COUNT(Dong3),0,IF(OFFSET(TH!K$1,SMALL(Dong3,ROWS($1:103)),)&lt;&gt;0,OFFSET(TH!K$1,SMALL(Dong3,ROWS($1:103)),),0))</f>
        <v>0</v>
      </c>
      <c r="H116" s="228">
        <f ca="1">IF(ROWS($1:103)&gt;COUNT(Dong3),0,IF(OFFSET(TH!M$1,SMALL(Dong3,ROWS($1:103)),)&lt;&gt;0,OFFSET(TH!M$1,SMALL(Dong3,ROWS($1:103)),),0))</f>
        <v>0</v>
      </c>
      <c r="I116" s="127">
        <f t="shared" ca="1" si="8"/>
        <v>0</v>
      </c>
      <c r="J116" s="130"/>
      <c r="K116" s="213"/>
    </row>
    <row r="117" spans="1:11" ht="16.5" customHeight="1">
      <c r="A117" s="129" t="str">
        <f t="shared" ca="1" si="6"/>
        <v/>
      </c>
      <c r="B117" s="226" t="str">
        <f ca="1">IF(ROWS($1:104)&gt;COUNT(Dong3),"",OFFSET(TH!E$1,SMALL(Dong3,ROWS($1:104)),))</f>
        <v/>
      </c>
      <c r="C117" s="226" t="str">
        <f ca="1">IF(ROWS($1:104)&gt;COUNT(Dong3),"",IF(LEFT((OFFSET(TH!D$1,SMALL(Dong3,ROWS($1:104)),)),1)&lt;&gt;"N","",(OFFSET(TH!D$1,SMALL(Dong3,ROWS($1:104)),)&amp;"/"&amp;OFFSET(TH!C$1,SMALL(Dong3,ROWS($1:104)),))))</f>
        <v/>
      </c>
      <c r="D117" s="226" t="str">
        <f ca="1">IF(ROWS($1:104)&gt;COUNT(Dong3),"",IF(LEFT((OFFSET(TH!D$1,SMALL(Dong3,ROWS($1:104)),)),1)&lt;&gt;"X","",(OFFSET(TH!D$1,SMALL(Dong3,ROWS($1:104)),)&amp;"/"&amp;OFFSET(TH!C$1,SMALL(Dong3,ROWS($1:104)),))))</f>
        <v/>
      </c>
      <c r="E117" s="227" t="str">
        <f ca="1">IF(ROWS($1:104)&gt;COUNT(Dong3),"",OFFSET(TH!F$1,SMALL(Dong3,ROWS($1:104)),))</f>
        <v/>
      </c>
      <c r="F117" s="226" t="str">
        <f t="shared" ca="1" si="7"/>
        <v/>
      </c>
      <c r="G117" s="228">
        <f ca="1">IF(ROWS($1:104)&gt;COUNT(Dong3),0,IF(OFFSET(TH!K$1,SMALL(Dong3,ROWS($1:104)),)&lt;&gt;0,OFFSET(TH!K$1,SMALL(Dong3,ROWS($1:104)),),0))</f>
        <v>0</v>
      </c>
      <c r="H117" s="228">
        <f ca="1">IF(ROWS($1:104)&gt;COUNT(Dong3),0,IF(OFFSET(TH!M$1,SMALL(Dong3,ROWS($1:104)),)&lt;&gt;0,OFFSET(TH!M$1,SMALL(Dong3,ROWS($1:104)),),0))</f>
        <v>0</v>
      </c>
      <c r="I117" s="127">
        <f t="shared" ca="1" si="8"/>
        <v>0</v>
      </c>
      <c r="J117" s="130"/>
      <c r="K117" s="213"/>
    </row>
    <row r="118" spans="1:11" ht="16.5" customHeight="1">
      <c r="A118" s="129" t="str">
        <f t="shared" ca="1" si="6"/>
        <v/>
      </c>
      <c r="B118" s="226" t="str">
        <f ca="1">IF(ROWS($1:105)&gt;COUNT(Dong3),"",OFFSET(TH!E$1,SMALL(Dong3,ROWS($1:105)),))</f>
        <v/>
      </c>
      <c r="C118" s="226" t="str">
        <f ca="1">IF(ROWS($1:105)&gt;COUNT(Dong3),"",IF(LEFT((OFFSET(TH!D$1,SMALL(Dong3,ROWS($1:105)),)),1)&lt;&gt;"N","",(OFFSET(TH!D$1,SMALL(Dong3,ROWS($1:105)),)&amp;"/"&amp;OFFSET(TH!C$1,SMALL(Dong3,ROWS($1:105)),))))</f>
        <v/>
      </c>
      <c r="D118" s="226" t="str">
        <f ca="1">IF(ROWS($1:105)&gt;COUNT(Dong3),"",IF(LEFT((OFFSET(TH!D$1,SMALL(Dong3,ROWS($1:105)),)),1)&lt;&gt;"X","",(OFFSET(TH!D$1,SMALL(Dong3,ROWS($1:105)),)&amp;"/"&amp;OFFSET(TH!C$1,SMALL(Dong3,ROWS($1:105)),))))</f>
        <v/>
      </c>
      <c r="E118" s="227" t="str">
        <f ca="1">IF(ROWS($1:105)&gt;COUNT(Dong3),"",OFFSET(TH!F$1,SMALL(Dong3,ROWS($1:105)),))</f>
        <v/>
      </c>
      <c r="F118" s="226" t="str">
        <f t="shared" ca="1" si="7"/>
        <v/>
      </c>
      <c r="G118" s="228">
        <f ca="1">IF(ROWS($1:105)&gt;COUNT(Dong3),0,IF(OFFSET(TH!K$1,SMALL(Dong3,ROWS($1:105)),)&lt;&gt;0,OFFSET(TH!K$1,SMALL(Dong3,ROWS($1:105)),),0))</f>
        <v>0</v>
      </c>
      <c r="H118" s="228">
        <f ca="1">IF(ROWS($1:105)&gt;COUNT(Dong3),0,IF(OFFSET(TH!M$1,SMALL(Dong3,ROWS($1:105)),)&lt;&gt;0,OFFSET(TH!M$1,SMALL(Dong3,ROWS($1:105)),),0))</f>
        <v>0</v>
      </c>
      <c r="I118" s="127">
        <f t="shared" ca="1" si="8"/>
        <v>0</v>
      </c>
      <c r="J118" s="130"/>
      <c r="K118" s="213"/>
    </row>
    <row r="119" spans="1:11" ht="16.5" customHeight="1">
      <c r="A119" s="129" t="str">
        <f t="shared" ca="1" si="6"/>
        <v/>
      </c>
      <c r="B119" s="226" t="str">
        <f ca="1">IF(ROWS($1:106)&gt;COUNT(Dong3),"",OFFSET(TH!E$1,SMALL(Dong3,ROWS($1:106)),))</f>
        <v/>
      </c>
      <c r="C119" s="226" t="str">
        <f ca="1">IF(ROWS($1:106)&gt;COUNT(Dong3),"",IF(LEFT((OFFSET(TH!D$1,SMALL(Dong3,ROWS($1:106)),)),1)&lt;&gt;"N","",(OFFSET(TH!D$1,SMALL(Dong3,ROWS($1:106)),)&amp;"/"&amp;OFFSET(TH!C$1,SMALL(Dong3,ROWS($1:106)),))))</f>
        <v/>
      </c>
      <c r="D119" s="226" t="str">
        <f ca="1">IF(ROWS($1:106)&gt;COUNT(Dong3),"",IF(LEFT((OFFSET(TH!D$1,SMALL(Dong3,ROWS($1:106)),)),1)&lt;&gt;"X","",(OFFSET(TH!D$1,SMALL(Dong3,ROWS($1:106)),)&amp;"/"&amp;OFFSET(TH!C$1,SMALL(Dong3,ROWS($1:106)),))))</f>
        <v/>
      </c>
      <c r="E119" s="227" t="str">
        <f ca="1">IF(ROWS($1:106)&gt;COUNT(Dong3),"",OFFSET(TH!F$1,SMALL(Dong3,ROWS($1:106)),))</f>
        <v/>
      </c>
      <c r="F119" s="226" t="str">
        <f t="shared" ca="1" si="7"/>
        <v/>
      </c>
      <c r="G119" s="228">
        <f ca="1">IF(ROWS($1:106)&gt;COUNT(Dong3),0,IF(OFFSET(TH!K$1,SMALL(Dong3,ROWS($1:106)),)&lt;&gt;0,OFFSET(TH!K$1,SMALL(Dong3,ROWS($1:106)),),0))</f>
        <v>0</v>
      </c>
      <c r="H119" s="228">
        <f ca="1">IF(ROWS($1:106)&gt;COUNT(Dong3),0,IF(OFFSET(TH!M$1,SMALL(Dong3,ROWS($1:106)),)&lt;&gt;0,OFFSET(TH!M$1,SMALL(Dong3,ROWS($1:106)),),0))</f>
        <v>0</v>
      </c>
      <c r="I119" s="127">
        <f t="shared" ca="1" si="8"/>
        <v>0</v>
      </c>
      <c r="J119" s="130"/>
      <c r="K119" s="213"/>
    </row>
    <row r="120" spans="1:11" ht="16.5" customHeight="1">
      <c r="A120" s="129" t="str">
        <f t="shared" ca="1" si="6"/>
        <v/>
      </c>
      <c r="B120" s="226" t="str">
        <f ca="1">IF(ROWS($1:107)&gt;COUNT(Dong3),"",OFFSET(TH!E$1,SMALL(Dong3,ROWS($1:107)),))</f>
        <v/>
      </c>
      <c r="C120" s="226" t="str">
        <f ca="1">IF(ROWS($1:107)&gt;COUNT(Dong3),"",IF(LEFT((OFFSET(TH!D$1,SMALL(Dong3,ROWS($1:107)),)),1)&lt;&gt;"N","",(OFFSET(TH!D$1,SMALL(Dong3,ROWS($1:107)),)&amp;"/"&amp;OFFSET(TH!C$1,SMALL(Dong3,ROWS($1:107)),))))</f>
        <v/>
      </c>
      <c r="D120" s="226" t="str">
        <f ca="1">IF(ROWS($1:107)&gt;COUNT(Dong3),"",IF(LEFT((OFFSET(TH!D$1,SMALL(Dong3,ROWS($1:107)),)),1)&lt;&gt;"X","",(OFFSET(TH!D$1,SMALL(Dong3,ROWS($1:107)),)&amp;"/"&amp;OFFSET(TH!C$1,SMALL(Dong3,ROWS($1:107)),))))</f>
        <v/>
      </c>
      <c r="E120" s="227" t="str">
        <f ca="1">IF(ROWS($1:107)&gt;COUNT(Dong3),"",OFFSET(TH!F$1,SMALL(Dong3,ROWS($1:107)),))</f>
        <v/>
      </c>
      <c r="F120" s="226" t="str">
        <f t="shared" ca="1" si="7"/>
        <v/>
      </c>
      <c r="G120" s="228">
        <f ca="1">IF(ROWS($1:107)&gt;COUNT(Dong3),0,IF(OFFSET(TH!K$1,SMALL(Dong3,ROWS($1:107)),)&lt;&gt;0,OFFSET(TH!K$1,SMALL(Dong3,ROWS($1:107)),),0))</f>
        <v>0</v>
      </c>
      <c r="H120" s="228">
        <f ca="1">IF(ROWS($1:107)&gt;COUNT(Dong3),0,IF(OFFSET(TH!M$1,SMALL(Dong3,ROWS($1:107)),)&lt;&gt;0,OFFSET(TH!M$1,SMALL(Dong3,ROWS($1:107)),),0))</f>
        <v>0</v>
      </c>
      <c r="I120" s="127">
        <f t="shared" ca="1" si="8"/>
        <v>0</v>
      </c>
      <c r="J120" s="130"/>
      <c r="K120" s="213"/>
    </row>
    <row r="121" spans="1:11" ht="16.5" customHeight="1">
      <c r="A121" s="129" t="str">
        <f t="shared" ca="1" si="6"/>
        <v/>
      </c>
      <c r="B121" s="226" t="str">
        <f ca="1">IF(ROWS($1:108)&gt;COUNT(Dong3),"",OFFSET(TH!E$1,SMALL(Dong3,ROWS($1:108)),))</f>
        <v/>
      </c>
      <c r="C121" s="226" t="str">
        <f ca="1">IF(ROWS($1:108)&gt;COUNT(Dong3),"",IF(LEFT((OFFSET(TH!D$1,SMALL(Dong3,ROWS($1:108)),)),1)&lt;&gt;"N","",(OFFSET(TH!D$1,SMALL(Dong3,ROWS($1:108)),)&amp;"/"&amp;OFFSET(TH!C$1,SMALL(Dong3,ROWS($1:108)),))))</f>
        <v/>
      </c>
      <c r="D121" s="226" t="str">
        <f ca="1">IF(ROWS($1:108)&gt;COUNT(Dong3),"",IF(LEFT((OFFSET(TH!D$1,SMALL(Dong3,ROWS($1:108)),)),1)&lt;&gt;"X","",(OFFSET(TH!D$1,SMALL(Dong3,ROWS($1:108)),)&amp;"/"&amp;OFFSET(TH!C$1,SMALL(Dong3,ROWS($1:108)),))))</f>
        <v/>
      </c>
      <c r="E121" s="227" t="str">
        <f ca="1">IF(ROWS($1:108)&gt;COUNT(Dong3),"",OFFSET(TH!F$1,SMALL(Dong3,ROWS($1:108)),))</f>
        <v/>
      </c>
      <c r="F121" s="226" t="str">
        <f t="shared" ca="1" si="7"/>
        <v/>
      </c>
      <c r="G121" s="228">
        <f ca="1">IF(ROWS($1:108)&gt;COUNT(Dong3),0,IF(OFFSET(TH!K$1,SMALL(Dong3,ROWS($1:108)),)&lt;&gt;0,OFFSET(TH!K$1,SMALL(Dong3,ROWS($1:108)),),0))</f>
        <v>0</v>
      </c>
      <c r="H121" s="228">
        <f ca="1">IF(ROWS($1:108)&gt;COUNT(Dong3),0,IF(OFFSET(TH!M$1,SMALL(Dong3,ROWS($1:108)),)&lt;&gt;0,OFFSET(TH!M$1,SMALL(Dong3,ROWS($1:108)),),0))</f>
        <v>0</v>
      </c>
      <c r="I121" s="127">
        <f t="shared" ca="1" si="8"/>
        <v>0</v>
      </c>
      <c r="J121" s="130"/>
      <c r="K121" s="213"/>
    </row>
    <row r="122" spans="1:11" ht="16.5" customHeight="1">
      <c r="A122" s="129" t="str">
        <f t="shared" ca="1" si="6"/>
        <v/>
      </c>
      <c r="B122" s="226" t="str">
        <f ca="1">IF(ROWS($1:109)&gt;COUNT(Dong3),"",OFFSET(TH!E$1,SMALL(Dong3,ROWS($1:109)),))</f>
        <v/>
      </c>
      <c r="C122" s="226" t="str">
        <f ca="1">IF(ROWS($1:109)&gt;COUNT(Dong3),"",IF(LEFT((OFFSET(TH!D$1,SMALL(Dong3,ROWS($1:109)),)),1)&lt;&gt;"N","",(OFFSET(TH!D$1,SMALL(Dong3,ROWS($1:109)),)&amp;"/"&amp;OFFSET(TH!C$1,SMALL(Dong3,ROWS($1:109)),))))</f>
        <v/>
      </c>
      <c r="D122" s="226" t="str">
        <f ca="1">IF(ROWS($1:109)&gt;COUNT(Dong3),"",IF(LEFT((OFFSET(TH!D$1,SMALL(Dong3,ROWS($1:109)),)),1)&lt;&gt;"X","",(OFFSET(TH!D$1,SMALL(Dong3,ROWS($1:109)),)&amp;"/"&amp;OFFSET(TH!C$1,SMALL(Dong3,ROWS($1:109)),))))</f>
        <v/>
      </c>
      <c r="E122" s="227" t="str">
        <f ca="1">IF(ROWS($1:109)&gt;COUNT(Dong3),"",OFFSET(TH!F$1,SMALL(Dong3,ROWS($1:109)),))</f>
        <v/>
      </c>
      <c r="F122" s="226" t="str">
        <f t="shared" ca="1" si="7"/>
        <v/>
      </c>
      <c r="G122" s="228">
        <f ca="1">IF(ROWS($1:109)&gt;COUNT(Dong3),0,IF(OFFSET(TH!K$1,SMALL(Dong3,ROWS($1:109)),)&lt;&gt;0,OFFSET(TH!K$1,SMALL(Dong3,ROWS($1:109)),),0))</f>
        <v>0</v>
      </c>
      <c r="H122" s="228">
        <f ca="1">IF(ROWS($1:109)&gt;COUNT(Dong3),0,IF(OFFSET(TH!M$1,SMALL(Dong3,ROWS($1:109)),)&lt;&gt;0,OFFSET(TH!M$1,SMALL(Dong3,ROWS($1:109)),),0))</f>
        <v>0</v>
      </c>
      <c r="I122" s="127">
        <f t="shared" ca="1" si="8"/>
        <v>0</v>
      </c>
      <c r="J122" s="130"/>
      <c r="K122" s="213"/>
    </row>
    <row r="123" spans="1:11" ht="16.5" customHeight="1">
      <c r="A123" s="129" t="str">
        <f t="shared" ca="1" si="6"/>
        <v/>
      </c>
      <c r="B123" s="226" t="str">
        <f ca="1">IF(ROWS($1:110)&gt;COUNT(Dong3),"",OFFSET(TH!E$1,SMALL(Dong3,ROWS($1:110)),))</f>
        <v/>
      </c>
      <c r="C123" s="226" t="str">
        <f ca="1">IF(ROWS($1:110)&gt;COUNT(Dong3),"",IF(LEFT((OFFSET(TH!D$1,SMALL(Dong3,ROWS($1:110)),)),1)&lt;&gt;"N","",(OFFSET(TH!D$1,SMALL(Dong3,ROWS($1:110)),)&amp;"/"&amp;OFFSET(TH!C$1,SMALL(Dong3,ROWS($1:110)),))))</f>
        <v/>
      </c>
      <c r="D123" s="226" t="str">
        <f ca="1">IF(ROWS($1:110)&gt;COUNT(Dong3),"",IF(LEFT((OFFSET(TH!D$1,SMALL(Dong3,ROWS($1:110)),)),1)&lt;&gt;"X","",(OFFSET(TH!D$1,SMALL(Dong3,ROWS($1:110)),)&amp;"/"&amp;OFFSET(TH!C$1,SMALL(Dong3,ROWS($1:110)),))))</f>
        <v/>
      </c>
      <c r="E123" s="227" t="str">
        <f ca="1">IF(ROWS($1:110)&gt;COUNT(Dong3),"",OFFSET(TH!F$1,SMALL(Dong3,ROWS($1:110)),))</f>
        <v/>
      </c>
      <c r="F123" s="226" t="str">
        <f t="shared" ca="1" si="7"/>
        <v/>
      </c>
      <c r="G123" s="228">
        <f ca="1">IF(ROWS($1:110)&gt;COUNT(Dong3),0,IF(OFFSET(TH!K$1,SMALL(Dong3,ROWS($1:110)),)&lt;&gt;0,OFFSET(TH!K$1,SMALL(Dong3,ROWS($1:110)),),0))</f>
        <v>0</v>
      </c>
      <c r="H123" s="228">
        <f ca="1">IF(ROWS($1:110)&gt;COUNT(Dong3),0,IF(OFFSET(TH!M$1,SMALL(Dong3,ROWS($1:110)),)&lt;&gt;0,OFFSET(TH!M$1,SMALL(Dong3,ROWS($1:110)),),0))</f>
        <v>0</v>
      </c>
      <c r="I123" s="127">
        <f t="shared" ca="1" si="8"/>
        <v>0</v>
      </c>
      <c r="J123" s="130"/>
      <c r="K123" s="213"/>
    </row>
    <row r="124" spans="1:11" ht="16.5" customHeight="1">
      <c r="A124" s="224" t="str">
        <f>IF(D124&lt;&gt;"",A21+1,"")</f>
        <v/>
      </c>
      <c r="B124" s="229"/>
      <c r="C124" s="230"/>
      <c r="D124" s="230"/>
      <c r="E124" s="231"/>
      <c r="F124" s="229"/>
      <c r="G124" s="225"/>
      <c r="H124" s="225"/>
      <c r="I124" s="225"/>
      <c r="J124" s="232"/>
      <c r="K124" s="213"/>
    </row>
    <row r="125" spans="1:11" ht="16.5" customHeight="1">
      <c r="A125" s="119"/>
      <c r="B125" s="131"/>
      <c r="C125" s="119"/>
      <c r="D125" s="119"/>
      <c r="E125" s="120" t="s">
        <v>84</v>
      </c>
      <c r="F125" s="132" t="s">
        <v>22</v>
      </c>
      <c r="G125" s="133">
        <f ca="1">SUM(G14:G124)</f>
        <v>293</v>
      </c>
      <c r="H125" s="133">
        <f ca="1">SUM(H14:H124)</f>
        <v>898</v>
      </c>
      <c r="I125" s="133">
        <f ca="1">I13+G125-H125</f>
        <v>0</v>
      </c>
      <c r="J125" s="119" t="s">
        <v>22</v>
      </c>
      <c r="K125" s="214"/>
    </row>
    <row r="126" spans="1:11" ht="12.75" customHeight="1">
      <c r="A126" s="134"/>
      <c r="B126" s="98"/>
      <c r="C126" s="134"/>
      <c r="D126" s="134"/>
      <c r="E126" s="107"/>
      <c r="F126" s="98"/>
      <c r="G126" s="108"/>
      <c r="H126" s="108"/>
      <c r="I126" s="108"/>
      <c r="J126" s="94"/>
      <c r="K126" s="94"/>
    </row>
    <row r="127" spans="1:11" ht="15">
      <c r="A127" s="135" t="s">
        <v>85</v>
      </c>
      <c r="B127" s="135"/>
      <c r="C127" s="136"/>
      <c r="D127" s="136"/>
      <c r="E127" s="107"/>
      <c r="F127" s="98"/>
      <c r="G127" s="108"/>
      <c r="H127" s="108"/>
      <c r="I127" s="108"/>
      <c r="J127" s="94"/>
      <c r="K127" s="94"/>
    </row>
    <row r="128" spans="1:11" ht="15">
      <c r="A128" s="537" t="str">
        <f ca="1">IF(ISERROR(" - Ngày mở sổ: ngày "&amp;DAY(B14)&amp;" tháng "&amp;MONTH(B14)&amp;" năm "&amp;YEAR(B14))," - Ngày mở sổ: ngày 01 tháng  01 năm 2015 "," - Ngày mở sổ: ngày "&amp;DAY(B14)&amp;" tháng "&amp;MONTH(B14)&amp;" năm "&amp;YEAR(B14))</f>
        <v xml:space="preserve"> - Ngày mở sổ: ngày 7 tháng 1 năm 2015</v>
      </c>
      <c r="B128" s="538"/>
      <c r="C128" s="538"/>
      <c r="D128" s="538"/>
      <c r="E128" s="538"/>
      <c r="F128" s="98"/>
      <c r="G128" s="108"/>
      <c r="H128" s="108"/>
      <c r="I128" s="108"/>
      <c r="J128" s="94"/>
      <c r="K128" s="94"/>
    </row>
    <row r="129" spans="1:11" ht="15">
      <c r="A129" s="80"/>
      <c r="B129" s="137"/>
      <c r="C129" s="138"/>
      <c r="D129" s="134"/>
      <c r="E129" s="107"/>
      <c r="F129" s="98"/>
      <c r="G129" s="501" t="s">
        <v>132</v>
      </c>
      <c r="H129" s="501"/>
      <c r="I129" s="501"/>
      <c r="J129" s="501"/>
      <c r="K129" s="139"/>
    </row>
    <row r="130" spans="1:11" ht="15">
      <c r="A130" s="80"/>
      <c r="B130" s="79" t="s">
        <v>86</v>
      </c>
      <c r="C130" s="80"/>
      <c r="D130" s="134"/>
      <c r="E130" s="542" t="s">
        <v>24</v>
      </c>
      <c r="F130" s="542"/>
      <c r="G130" s="108"/>
      <c r="H130" s="543" t="s">
        <v>25</v>
      </c>
      <c r="I130" s="543"/>
      <c r="J130" s="543"/>
      <c r="K130" s="80"/>
    </row>
    <row r="131" spans="1:11" ht="15">
      <c r="A131" s="82"/>
      <c r="B131" s="140" t="s">
        <v>26</v>
      </c>
      <c r="C131" s="82"/>
      <c r="D131" s="141"/>
      <c r="E131" s="524" t="s">
        <v>26</v>
      </c>
      <c r="F131" s="524"/>
      <c r="G131" s="108"/>
      <c r="H131" s="525" t="s">
        <v>28</v>
      </c>
      <c r="I131" s="525"/>
      <c r="J131" s="525"/>
      <c r="K131" s="82"/>
    </row>
    <row r="132" spans="1:11" ht="15">
      <c r="A132" s="82"/>
      <c r="B132" s="140"/>
      <c r="C132" s="82"/>
      <c r="D132" s="134"/>
      <c r="E132" s="142"/>
      <c r="F132" s="81"/>
      <c r="G132" s="108"/>
      <c r="H132" s="82"/>
      <c r="I132" s="82"/>
      <c r="J132" s="82"/>
      <c r="K132" s="82"/>
    </row>
    <row r="133" spans="1:11" ht="15">
      <c r="A133" s="82"/>
      <c r="B133" s="140"/>
      <c r="C133" s="82"/>
      <c r="D133" s="134"/>
      <c r="E133" s="142"/>
      <c r="F133" s="81"/>
      <c r="G133" s="108"/>
      <c r="H133" s="82"/>
      <c r="I133" s="82"/>
      <c r="J133" s="82"/>
      <c r="K133" s="82"/>
    </row>
    <row r="134" spans="1:11" ht="15">
      <c r="A134" s="82"/>
      <c r="B134" s="140"/>
      <c r="C134" s="82"/>
      <c r="D134" s="134"/>
      <c r="E134" s="142"/>
      <c r="F134" s="81"/>
      <c r="G134" s="108"/>
      <c r="H134" s="82"/>
      <c r="I134" s="82"/>
      <c r="J134" s="82"/>
      <c r="K134" s="82"/>
    </row>
  </sheetData>
  <mergeCells count="14">
    <mergeCell ref="E131:F131"/>
    <mergeCell ref="H131:J131"/>
    <mergeCell ref="G129:J129"/>
    <mergeCell ref="A9:D9"/>
    <mergeCell ref="A10:A11"/>
    <mergeCell ref="C10:D10"/>
    <mergeCell ref="E10:E11"/>
    <mergeCell ref="B10:B11"/>
    <mergeCell ref="J10:J11"/>
    <mergeCell ref="A128:E128"/>
    <mergeCell ref="G10:I10"/>
    <mergeCell ref="F10:F11"/>
    <mergeCell ref="E130:F130"/>
    <mergeCell ref="H130:J130"/>
  </mergeCells>
  <phoneticPr fontId="0" type="noConversion"/>
  <dataValidations count="2">
    <dataValidation type="list" allowBlank="1" showInputMessage="1" showErrorMessage="1" sqref="E7">
      <formula1>OFFSET(INDIRECT(ADDRESS(MATCH($L$10,NXT,0)+11,3,,,"NXT")),0,0,COUNTIF(NXT,$L$10),1)</formula1>
    </dataValidation>
    <dataValidation type="list" allowBlank="1" showInputMessage="1" showErrorMessage="1" sqref="L10">
      <formula1>"NL,VL,TP"</formula1>
    </dataValidation>
  </dataValidations>
  <pageMargins left="0.71" right="0.13" top="0.5" bottom="0.61" header="0.5" footer="0.22"/>
  <pageSetup orientation="portrait" r:id="rId1"/>
  <headerFooter alignWithMargins="0">
    <oddFooter>&amp;RTrang &amp;P/1</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56"/>
  </sheetPr>
  <dimension ref="A1:CH78"/>
  <sheetViews>
    <sheetView tabSelected="1" topLeftCell="A11" zoomScale="90" zoomScaleSheetLayoutView="100" workbookViewId="0">
      <pane ySplit="4" topLeftCell="A57" activePane="bottomLeft" state="frozen"/>
      <selection activeCell="A11" sqref="A11"/>
      <selection pane="bottomLeft" activeCell="E73" sqref="E73"/>
    </sheetView>
  </sheetViews>
  <sheetFormatPr defaultColWidth="9.140625" defaultRowHeight="15.75"/>
  <cols>
    <col min="1" max="1" width="10.42578125" style="237" customWidth="1"/>
    <col min="2" max="2" width="25.28515625" style="235" customWidth="1"/>
    <col min="3" max="3" width="5.85546875" style="235" hidden="1" customWidth="1"/>
    <col min="4" max="4" width="5.7109375" style="235" hidden="1" customWidth="1"/>
    <col min="5" max="5" width="24.5703125" style="235" customWidth="1"/>
    <col min="6" max="6" width="10.7109375" style="235" bestFit="1" customWidth="1"/>
    <col min="7" max="7" width="14.28515625" style="235" customWidth="1"/>
    <col min="8" max="8" width="7.85546875" style="239" customWidth="1"/>
    <col min="9" max="9" width="9" style="239" customWidth="1"/>
    <col min="10" max="10" width="13.140625" style="235" customWidth="1"/>
    <col min="11" max="12" width="6.7109375" style="235" customWidth="1"/>
    <col min="13" max="13" width="7.140625" style="236" customWidth="1"/>
    <col min="14" max="14" width="18.7109375" style="236" customWidth="1"/>
    <col min="15" max="85" width="10.28515625" style="236" customWidth="1"/>
    <col min="86" max="16384" width="9.140625" style="235"/>
  </cols>
  <sheetData>
    <row r="1" spans="1:86" ht="15.95" customHeight="1">
      <c r="A1" s="547" t="s">
        <v>302</v>
      </c>
      <c r="B1" s="547"/>
      <c r="C1" s="547"/>
      <c r="D1" s="547"/>
      <c r="E1" s="547"/>
      <c r="F1" s="547"/>
      <c r="G1" s="547"/>
      <c r="H1" s="547"/>
      <c r="I1" s="547"/>
      <c r="J1" s="548" t="s">
        <v>329</v>
      </c>
      <c r="K1" s="549"/>
      <c r="M1" s="235"/>
      <c r="CH1" s="236"/>
    </row>
    <row r="2" spans="1:86" ht="15.95" customHeight="1">
      <c r="A2" s="547"/>
      <c r="B2" s="547"/>
      <c r="C2" s="547"/>
      <c r="D2" s="547"/>
      <c r="E2" s="547"/>
      <c r="F2" s="547"/>
      <c r="G2" s="547"/>
      <c r="H2" s="547"/>
      <c r="I2" s="547"/>
      <c r="J2" s="550"/>
      <c r="K2" s="551"/>
      <c r="M2" s="235"/>
      <c r="CH2" s="236"/>
    </row>
    <row r="3" spans="1:86" ht="12.75" customHeight="1">
      <c r="A3" s="547"/>
      <c r="B3" s="547"/>
      <c r="C3" s="547"/>
      <c r="D3" s="547"/>
      <c r="E3" s="547"/>
      <c r="F3" s="547"/>
      <c r="G3" s="547"/>
      <c r="H3" s="547"/>
      <c r="I3" s="547"/>
      <c r="J3" s="550"/>
      <c r="K3" s="551"/>
      <c r="M3" s="235"/>
      <c r="CH3" s="236"/>
    </row>
    <row r="4" spans="1:86" ht="18" customHeight="1">
      <c r="A4" s="554" t="str">
        <f>"( " &amp; IF(OR($M$11=4,$M$11=6,$M$11=9,$M$11=11),"Ngày  30  tháng  "&amp;$M$11&amp;"  năm 2015",IF(OR($M$11=1,$M$11=3,$M$11=5,$M$11=7,$M$11=8,$M$11=10,$M$11=12),"Ngày  31  tháng  "&amp;$M$11&amp;"  năm 2015","Ngày  29  tháng  "&amp;$M$11&amp;"  năm 2015")) &amp; " ) "</f>
        <v xml:space="preserve">( Ngày  31  tháng  12  năm 2015 ) </v>
      </c>
      <c r="B4" s="554"/>
      <c r="C4" s="554"/>
      <c r="D4" s="554"/>
      <c r="E4" s="554"/>
      <c r="F4" s="554"/>
      <c r="G4" s="554"/>
      <c r="H4" s="554"/>
      <c r="I4" s="554"/>
      <c r="J4" s="552"/>
      <c r="K4" s="553"/>
      <c r="M4" s="235"/>
      <c r="CH4" s="236"/>
    </row>
    <row r="5" spans="1:86" ht="15" customHeight="1">
      <c r="E5" s="238"/>
      <c r="F5" s="238"/>
    </row>
    <row r="6" spans="1:86" ht="18" customHeight="1">
      <c r="A6" s="237" t="s">
        <v>303</v>
      </c>
      <c r="G6" s="235" t="s">
        <v>304</v>
      </c>
    </row>
    <row r="7" spans="1:86" ht="18" customHeight="1">
      <c r="A7" s="237" t="s">
        <v>305</v>
      </c>
    </row>
    <row r="8" spans="1:86" ht="18" customHeight="1">
      <c r="A8" s="237" t="s">
        <v>306</v>
      </c>
    </row>
    <row r="9" spans="1:86" ht="18" customHeight="1">
      <c r="A9" s="237" t="s">
        <v>307</v>
      </c>
    </row>
    <row r="10" spans="1:86" ht="10.5" customHeight="1">
      <c r="M10" s="272"/>
    </row>
    <row r="11" spans="1:86" s="240" customFormat="1" ht="17.25" customHeight="1">
      <c r="A11" s="555" t="s">
        <v>308</v>
      </c>
      <c r="B11" s="557" t="s">
        <v>309</v>
      </c>
      <c r="C11" s="558"/>
      <c r="D11" s="558"/>
      <c r="E11" s="558"/>
      <c r="F11" s="559"/>
      <c r="G11" s="560" t="s">
        <v>310</v>
      </c>
      <c r="H11" s="560"/>
      <c r="I11" s="560"/>
      <c r="J11" s="560"/>
      <c r="K11" s="561" t="s">
        <v>8</v>
      </c>
      <c r="M11" s="271">
        <v>12</v>
      </c>
      <c r="N11" s="241"/>
      <c r="O11" s="241"/>
      <c r="P11" s="241"/>
      <c r="Q11" s="241"/>
      <c r="R11" s="241"/>
      <c r="S11" s="241"/>
      <c r="T11" s="241"/>
      <c r="U11" s="241"/>
      <c r="V11" s="241"/>
      <c r="W11" s="241"/>
      <c r="X11" s="241"/>
      <c r="Y11" s="241"/>
      <c r="Z11" s="241"/>
      <c r="AA11" s="241"/>
      <c r="AB11" s="241"/>
      <c r="AC11" s="241"/>
      <c r="AD11" s="241"/>
      <c r="AE11" s="241"/>
      <c r="AF11" s="241"/>
      <c r="AG11" s="241"/>
      <c r="AH11" s="241"/>
      <c r="AI11" s="241"/>
      <c r="AJ11" s="241"/>
      <c r="AK11" s="241"/>
      <c r="AL11" s="241"/>
      <c r="AM11" s="241"/>
      <c r="AN11" s="241"/>
      <c r="AO11" s="241"/>
      <c r="AP11" s="241"/>
      <c r="AQ11" s="241"/>
      <c r="AR11" s="241"/>
      <c r="AS11" s="241"/>
      <c r="AT11" s="241"/>
      <c r="AU11" s="241"/>
      <c r="AV11" s="241"/>
      <c r="AW11" s="241"/>
      <c r="AX11" s="241"/>
      <c r="AY11" s="241"/>
      <c r="AZ11" s="241"/>
      <c r="BA11" s="241"/>
      <c r="BB11" s="241"/>
      <c r="BC11" s="241"/>
      <c r="BD11" s="241"/>
      <c r="BE11" s="241"/>
      <c r="BF11" s="241"/>
      <c r="BG11" s="241"/>
      <c r="BH11" s="241"/>
      <c r="BI11" s="241"/>
      <c r="BJ11" s="241"/>
      <c r="BK11" s="241"/>
      <c r="BL11" s="241"/>
      <c r="BM11" s="241"/>
      <c r="BN11" s="241"/>
      <c r="BO11" s="241"/>
      <c r="BP11" s="241"/>
      <c r="BQ11" s="241"/>
      <c r="BR11" s="241"/>
      <c r="BS11" s="241"/>
      <c r="BT11" s="241"/>
      <c r="BU11" s="241"/>
      <c r="BV11" s="241"/>
      <c r="BW11" s="241"/>
      <c r="BX11" s="241"/>
      <c r="BY11" s="241"/>
      <c r="BZ11" s="241"/>
      <c r="CA11" s="241"/>
      <c r="CB11" s="241"/>
      <c r="CC11" s="241"/>
      <c r="CD11" s="241"/>
      <c r="CE11" s="241"/>
      <c r="CF11" s="241"/>
      <c r="CG11" s="241"/>
    </row>
    <row r="12" spans="1:86" s="244" customFormat="1" ht="36" customHeight="1">
      <c r="A12" s="556"/>
      <c r="B12" s="242" t="s">
        <v>311</v>
      </c>
      <c r="C12" s="242"/>
      <c r="D12" s="242" t="s">
        <v>312</v>
      </c>
      <c r="E12" s="242" t="s">
        <v>313</v>
      </c>
      <c r="F12" s="242" t="s">
        <v>314</v>
      </c>
      <c r="G12" s="242" t="s">
        <v>315</v>
      </c>
      <c r="H12" s="243" t="s">
        <v>11</v>
      </c>
      <c r="I12" s="243" t="s">
        <v>4</v>
      </c>
      <c r="J12" s="242" t="s">
        <v>316</v>
      </c>
      <c r="K12" s="562"/>
      <c r="M12" s="245"/>
      <c r="N12" s="245"/>
      <c r="O12" s="245"/>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245"/>
      <c r="BH12" s="245"/>
      <c r="BI12" s="245"/>
      <c r="BJ12" s="245"/>
      <c r="BK12" s="245"/>
      <c r="BL12" s="245"/>
      <c r="BM12" s="245"/>
      <c r="BN12" s="245"/>
      <c r="BO12" s="245"/>
      <c r="BP12" s="245"/>
      <c r="BQ12" s="245"/>
      <c r="BR12" s="245"/>
      <c r="BS12" s="245"/>
      <c r="BT12" s="245"/>
      <c r="BU12" s="245"/>
      <c r="BV12" s="245"/>
      <c r="BW12" s="245"/>
      <c r="BX12" s="245"/>
      <c r="BY12" s="245"/>
      <c r="BZ12" s="245"/>
      <c r="CA12" s="245"/>
      <c r="CB12" s="245"/>
      <c r="CC12" s="245"/>
      <c r="CD12" s="245"/>
      <c r="CE12" s="245"/>
      <c r="CF12" s="245"/>
      <c r="CG12" s="245"/>
    </row>
    <row r="13" spans="1:86" s="250" customFormat="1" ht="9.75" customHeight="1">
      <c r="A13" s="246" t="s">
        <v>317</v>
      </c>
      <c r="B13" s="247">
        <v>2</v>
      </c>
      <c r="C13" s="247"/>
      <c r="D13" s="247"/>
      <c r="E13" s="247">
        <v>3</v>
      </c>
      <c r="F13" s="247">
        <v>4</v>
      </c>
      <c r="G13" s="247">
        <v>5</v>
      </c>
      <c r="H13" s="248" t="s">
        <v>318</v>
      </c>
      <c r="I13" s="248" t="s">
        <v>319</v>
      </c>
      <c r="J13" s="247">
        <v>8</v>
      </c>
      <c r="K13" s="247">
        <v>9</v>
      </c>
      <c r="L13" s="249"/>
      <c r="M13" s="249"/>
      <c r="N13" s="249"/>
      <c r="O13" s="249"/>
      <c r="P13" s="249"/>
      <c r="Q13" s="249"/>
      <c r="R13" s="249"/>
      <c r="S13" s="249"/>
      <c r="T13" s="249"/>
      <c r="U13" s="249"/>
      <c r="V13" s="249"/>
      <c r="W13" s="249"/>
      <c r="X13" s="249"/>
      <c r="Y13" s="249"/>
      <c r="Z13" s="249"/>
      <c r="AA13" s="249"/>
      <c r="AB13" s="249"/>
      <c r="AC13" s="249"/>
      <c r="AD13" s="249"/>
      <c r="AE13" s="249"/>
      <c r="AF13" s="249"/>
      <c r="AG13" s="249"/>
      <c r="AH13" s="249"/>
      <c r="AI13" s="249"/>
      <c r="AJ13" s="249"/>
      <c r="AK13" s="249"/>
      <c r="AL13" s="249"/>
      <c r="AM13" s="249"/>
      <c r="AN13" s="249"/>
      <c r="AO13" s="249"/>
      <c r="AP13" s="249"/>
      <c r="AQ13" s="249"/>
      <c r="AR13" s="249"/>
      <c r="AS13" s="249"/>
      <c r="AT13" s="249"/>
      <c r="AU13" s="249"/>
      <c r="AV13" s="249"/>
      <c r="AW13" s="249"/>
      <c r="AX13" s="249"/>
      <c r="AY13" s="249"/>
      <c r="AZ13" s="249"/>
      <c r="BA13" s="249"/>
      <c r="BB13" s="249"/>
      <c r="BC13" s="249"/>
      <c r="BD13" s="249"/>
      <c r="BE13" s="249"/>
      <c r="BF13" s="249"/>
      <c r="BG13" s="249"/>
      <c r="BH13" s="249"/>
      <c r="BI13" s="249"/>
      <c r="BJ13" s="249"/>
      <c r="BK13" s="249"/>
      <c r="BL13" s="249"/>
      <c r="BM13" s="249"/>
      <c r="BN13" s="249"/>
      <c r="BO13" s="249"/>
      <c r="BP13" s="249"/>
      <c r="BQ13" s="249"/>
      <c r="BR13" s="249"/>
      <c r="BS13" s="249"/>
      <c r="BT13" s="249"/>
      <c r="BU13" s="249"/>
      <c r="BV13" s="249"/>
      <c r="BW13" s="249"/>
      <c r="BX13" s="249"/>
      <c r="BY13" s="249"/>
      <c r="BZ13" s="249"/>
      <c r="CA13" s="249"/>
      <c r="CB13" s="249"/>
      <c r="CC13" s="249"/>
      <c r="CD13" s="249"/>
      <c r="CE13" s="249"/>
      <c r="CF13" s="249"/>
      <c r="CG13" s="249"/>
    </row>
    <row r="14" spans="1:86" s="257" customFormat="1" ht="21.75" customHeight="1">
      <c r="A14" s="70">
        <f ca="1">IF(ROWS($1:1)&gt;COUNT(Dong),"",OFFSET(TH!E$1,SMALL(Dong,ROWS($1:1)),))</f>
        <v>42339</v>
      </c>
      <c r="B14" s="273" t="str">
        <f ca="1">IF(ROWS($1:1)&gt;COUNT(Dong),"",OFFSET(TH!G$1,SMALL(Dong,ROWS($1:1)),))</f>
        <v>Võ Văn Thắng</v>
      </c>
      <c r="C14" s="251" t="str">
        <f t="shared" ref="C14:C66" ca="1" si="0">IF(ISNA(VLOOKUP($B14,DSNL,5,0)),"",VLOOKUP($B14,DSNL,5,0))</f>
        <v>Hai</v>
      </c>
      <c r="D14" s="251" t="str">
        <f ca="1">IF(ROWS($1:1)&gt;COUNT(Dong),"",OFFSET(TH!D$1,SMALL(Dong,ROWS($1:1)),))</f>
        <v>N01</v>
      </c>
      <c r="E14" s="252" t="str">
        <f t="shared" ref="E14:E66" ca="1" si="1">IF(ISNA(VLOOKUP($B14,DSNL,4,0)),"",VLOOKUP($B14,DSNL,4,0))</f>
        <v>Ba Tri - Bến Tre</v>
      </c>
      <c r="F14" s="252">
        <f t="shared" ref="F14:F66" ca="1" si="2">IF(ISNA(VLOOKUP($B14,DSNL,3,0)),"",VLOOKUP($B14,DSNL,3,0))</f>
        <v>320044169</v>
      </c>
      <c r="G14" s="274" t="str">
        <f ca="1">IF(ROWS($1:1)&gt;COUNT(Dong),"",OFFSET(TH!F$1,SMALL(Dong,ROWS($1:1)),))</f>
        <v>Cá chỉ vàng NL</v>
      </c>
      <c r="H14" s="275">
        <f ca="1">IF(ROWS($1:1)&gt;COUNT(Dong),"",OFFSET(TH!K$1,SMALL(Dong,ROWS($1:1)),))</f>
        <v>6480</v>
      </c>
      <c r="I14" s="275">
        <f ca="1">IF(ROWS($1:1)&gt;COUNT(Dong),"",OFFSET(TH!J$1,SMALL(Dong,ROWS($1:1)),))</f>
        <v>29500</v>
      </c>
      <c r="J14" s="258">
        <f ca="1">IF(B14&lt;&gt;"",H14*I14,0)</f>
        <v>191160000</v>
      </c>
      <c r="K14" s="258"/>
      <c r="L14" s="256"/>
      <c r="M14" s="236"/>
      <c r="N14" s="236"/>
      <c r="O14" s="236"/>
      <c r="P14" s="236"/>
      <c r="Q14" s="236"/>
      <c r="R14" s="236"/>
      <c r="S14" s="236"/>
      <c r="T14" s="236"/>
      <c r="U14" s="236"/>
      <c r="V14" s="236"/>
      <c r="W14" s="236"/>
      <c r="X14" s="236"/>
      <c r="Y14" s="236"/>
      <c r="Z14" s="236"/>
      <c r="AA14" s="236"/>
      <c r="AB14" s="236"/>
      <c r="AC14" s="236"/>
      <c r="AD14" s="236"/>
      <c r="AE14" s="236"/>
      <c r="AF14" s="236"/>
      <c r="AG14" s="236"/>
      <c r="AH14" s="236"/>
      <c r="AI14" s="236"/>
      <c r="AJ14" s="236"/>
      <c r="AK14" s="236"/>
      <c r="AL14" s="236"/>
      <c r="AM14" s="236"/>
      <c r="AN14" s="236"/>
      <c r="AO14" s="236"/>
      <c r="AP14" s="236"/>
      <c r="AQ14" s="236"/>
      <c r="AR14" s="236"/>
      <c r="AS14" s="236"/>
      <c r="AT14" s="236"/>
      <c r="AU14" s="236"/>
      <c r="AV14" s="236"/>
      <c r="AW14" s="236"/>
      <c r="AX14" s="236"/>
      <c r="AY14" s="236"/>
      <c r="AZ14" s="236"/>
      <c r="BA14" s="236"/>
      <c r="BB14" s="236"/>
      <c r="BC14" s="236"/>
      <c r="BD14" s="236"/>
      <c r="BE14" s="236"/>
      <c r="BF14" s="236"/>
      <c r="BG14" s="236"/>
      <c r="BH14" s="236"/>
      <c r="BI14" s="236"/>
      <c r="BJ14" s="236"/>
      <c r="BK14" s="236"/>
      <c r="BL14" s="236"/>
      <c r="BM14" s="236"/>
      <c r="BN14" s="236"/>
      <c r="BO14" s="236"/>
      <c r="BP14" s="236"/>
      <c r="BQ14" s="236"/>
      <c r="BR14" s="236"/>
      <c r="BS14" s="236"/>
      <c r="BT14" s="236"/>
      <c r="BU14" s="236"/>
      <c r="BV14" s="236"/>
      <c r="BW14" s="236"/>
      <c r="BX14" s="236"/>
      <c r="BY14" s="236"/>
      <c r="BZ14" s="236"/>
      <c r="CA14" s="236"/>
      <c r="CB14" s="236"/>
      <c r="CC14" s="236"/>
      <c r="CD14" s="236"/>
      <c r="CE14" s="236"/>
      <c r="CF14" s="236"/>
      <c r="CG14" s="236"/>
    </row>
    <row r="15" spans="1:86" s="257" customFormat="1" ht="21.75" customHeight="1">
      <c r="A15" s="70">
        <f ca="1">IF(ROWS($1:2)&gt;COUNT(Dong),"",OFFSET(TH!E$1,SMALL(Dong,ROWS($1:2)),))</f>
        <v>42339</v>
      </c>
      <c r="B15" s="273" t="str">
        <f ca="1">IF(ROWS($1:2)&gt;COUNT(Dong),"",OFFSET(TH!G$1,SMALL(Dong,ROWS($1:2)),))</f>
        <v>Nguyễn Văn Phong</v>
      </c>
      <c r="C15" s="251" t="str">
        <f t="shared" ca="1" si="0"/>
        <v>Hai</v>
      </c>
      <c r="D15" s="251" t="str">
        <f ca="1">IF(ROWS($1:2)&gt;COUNT(Dong),"",OFFSET(TH!D$1,SMALL(Dong,ROWS($1:2)),))</f>
        <v>N02</v>
      </c>
      <c r="E15" s="252" t="str">
        <f t="shared" ca="1" si="1"/>
        <v>Ba Tri - Bến Tre</v>
      </c>
      <c r="F15" s="252">
        <f t="shared" ca="1" si="2"/>
        <v>320892558</v>
      </c>
      <c r="G15" s="253" t="str">
        <f ca="1">IF(ROWS($1:2)&gt;COUNT(Dong),"",OFFSET(TH!F$1,SMALL(Dong,ROWS($1:2)),))</f>
        <v>Cá chỉ vàng NL</v>
      </c>
      <c r="H15" s="254">
        <f ca="1">IF(ROWS($1:2)&gt;COUNT(Dong),"",OFFSET(TH!K$1,SMALL(Dong,ROWS($1:2)),))</f>
        <v>5940</v>
      </c>
      <c r="I15" s="254">
        <f ca="1">IF(ROWS($1:2)&gt;COUNT(Dong),"",OFFSET(TH!J$1,SMALL(Dong,ROWS($1:2)),))</f>
        <v>29500</v>
      </c>
      <c r="J15" s="258">
        <f t="shared" ref="J15:J60" ca="1" si="3">IF(B15&lt;&gt;"",H15*I15,0)</f>
        <v>175230000</v>
      </c>
      <c r="K15" s="255"/>
      <c r="L15" s="256"/>
      <c r="M15" s="236"/>
      <c r="N15" s="236"/>
      <c r="O15" s="236"/>
      <c r="P15" s="236"/>
      <c r="Q15" s="236"/>
      <c r="R15" s="236"/>
      <c r="S15" s="236"/>
      <c r="T15" s="236"/>
      <c r="U15" s="236"/>
      <c r="V15" s="236"/>
      <c r="W15" s="236"/>
      <c r="X15" s="236"/>
      <c r="Y15" s="236"/>
      <c r="Z15" s="236"/>
      <c r="AA15" s="236"/>
      <c r="AB15" s="236"/>
      <c r="AC15" s="236"/>
      <c r="AD15" s="236"/>
      <c r="AE15" s="236"/>
      <c r="AF15" s="236"/>
      <c r="AG15" s="236"/>
      <c r="AH15" s="236"/>
      <c r="AI15" s="236"/>
      <c r="AJ15" s="236"/>
      <c r="AK15" s="236"/>
      <c r="AL15" s="236"/>
      <c r="AM15" s="236"/>
      <c r="AN15" s="236"/>
      <c r="AO15" s="236"/>
      <c r="AP15" s="236"/>
      <c r="AQ15" s="236"/>
      <c r="AR15" s="236"/>
      <c r="AS15" s="236"/>
      <c r="AT15" s="236"/>
      <c r="AU15" s="236"/>
      <c r="AV15" s="236"/>
      <c r="AW15" s="236"/>
      <c r="AX15" s="236"/>
      <c r="AY15" s="236"/>
      <c r="AZ15" s="236"/>
      <c r="BA15" s="236"/>
      <c r="BB15" s="236"/>
      <c r="BC15" s="236"/>
      <c r="BD15" s="236"/>
      <c r="BE15" s="236"/>
      <c r="BF15" s="236"/>
      <c r="BG15" s="236"/>
      <c r="BH15" s="236"/>
      <c r="BI15" s="236"/>
      <c r="BJ15" s="236"/>
      <c r="BK15" s="236"/>
      <c r="BL15" s="236"/>
      <c r="BM15" s="236"/>
      <c r="BN15" s="236"/>
      <c r="BO15" s="236"/>
      <c r="BP15" s="236"/>
      <c r="BQ15" s="236"/>
      <c r="BR15" s="236"/>
      <c r="BS15" s="236"/>
      <c r="BT15" s="236"/>
      <c r="BU15" s="236"/>
      <c r="BV15" s="236"/>
      <c r="BW15" s="236"/>
      <c r="BX15" s="236"/>
      <c r="BY15" s="236"/>
      <c r="BZ15" s="236"/>
      <c r="CA15" s="236"/>
      <c r="CB15" s="236"/>
      <c r="CC15" s="236"/>
      <c r="CD15" s="236"/>
      <c r="CE15" s="236"/>
      <c r="CF15" s="236"/>
      <c r="CG15" s="236"/>
    </row>
    <row r="16" spans="1:86" s="257" customFormat="1" ht="21.75" customHeight="1">
      <c r="A16" s="70">
        <f ca="1">IF(ROWS($1:3)&gt;COUNT(Dong),"",OFFSET(TH!E$1,SMALL(Dong,ROWS($1:3)),))</f>
        <v>42339</v>
      </c>
      <c r="B16" s="273" t="str">
        <f ca="1">IF(ROWS($1:3)&gt;COUNT(Dong),"",OFFSET(TH!G$1,SMALL(Dong,ROWS($1:3)),))</f>
        <v>Trần Thị Lang</v>
      </c>
      <c r="C16" s="251" t="str">
        <f t="shared" ca="1" si="0"/>
        <v>Tiền</v>
      </c>
      <c r="D16" s="251" t="str">
        <f ca="1">IF(ROWS($1:3)&gt;COUNT(Dong),"",OFFSET(TH!D$1,SMALL(Dong,ROWS($1:3)),))</f>
        <v>N03</v>
      </c>
      <c r="E16" s="252" t="str">
        <f t="shared" ca="1" si="1"/>
        <v>Mỹ Tho - Tiền Giang</v>
      </c>
      <c r="F16" s="252">
        <f t="shared" ca="1" si="2"/>
        <v>310033074</v>
      </c>
      <c r="G16" s="253" t="str">
        <f ca="1">IF(ROWS($1:3)&gt;COUNT(Dong),"",OFFSET(TH!F$1,SMALL(Dong,ROWS($1:3)),))</f>
        <v>Cá chỉ vàng NL</v>
      </c>
      <c r="H16" s="254">
        <f ca="1">IF(ROWS($1:3)&gt;COUNT(Dong),"",OFFSET(TH!K$1,SMALL(Dong,ROWS($1:3)),))</f>
        <v>5867</v>
      </c>
      <c r="I16" s="254">
        <f ca="1">IF(ROWS($1:3)&gt;COUNT(Dong),"",OFFSET(TH!J$1,SMALL(Dong,ROWS($1:3)),))</f>
        <v>29500</v>
      </c>
      <c r="J16" s="258">
        <f t="shared" ca="1" si="3"/>
        <v>173076500</v>
      </c>
      <c r="K16" s="255"/>
      <c r="L16" s="256"/>
      <c r="M16" s="236"/>
      <c r="N16" s="236"/>
      <c r="O16" s="236"/>
      <c r="P16" s="236"/>
      <c r="Q16" s="236"/>
      <c r="R16" s="236"/>
      <c r="S16" s="236"/>
      <c r="T16" s="236"/>
      <c r="U16" s="236"/>
      <c r="V16" s="236"/>
      <c r="W16" s="236"/>
      <c r="X16" s="236"/>
      <c r="Y16" s="236"/>
      <c r="Z16" s="236"/>
      <c r="AA16" s="236"/>
      <c r="AB16" s="236"/>
      <c r="AC16" s="236"/>
      <c r="AD16" s="236"/>
      <c r="AE16" s="236"/>
      <c r="AF16" s="236"/>
      <c r="AG16" s="236"/>
      <c r="AH16" s="236"/>
      <c r="AI16" s="236"/>
      <c r="AJ16" s="236"/>
      <c r="AK16" s="236"/>
      <c r="AL16" s="236"/>
      <c r="AM16" s="236"/>
      <c r="AN16" s="236"/>
      <c r="AO16" s="236"/>
      <c r="AP16" s="236"/>
      <c r="AQ16" s="236"/>
      <c r="AR16" s="236"/>
      <c r="AS16" s="236"/>
      <c r="AT16" s="236"/>
      <c r="AU16" s="236"/>
      <c r="AV16" s="236"/>
      <c r="AW16" s="236"/>
      <c r="AX16" s="236"/>
      <c r="AY16" s="236"/>
      <c r="AZ16" s="236"/>
      <c r="BA16" s="236"/>
      <c r="BB16" s="236"/>
      <c r="BC16" s="236"/>
      <c r="BD16" s="236"/>
      <c r="BE16" s="236"/>
      <c r="BF16" s="236"/>
      <c r="BG16" s="236"/>
      <c r="BH16" s="236"/>
      <c r="BI16" s="236"/>
      <c r="BJ16" s="236"/>
      <c r="BK16" s="236"/>
      <c r="BL16" s="236"/>
      <c r="BM16" s="236"/>
      <c r="BN16" s="236"/>
      <c r="BO16" s="236"/>
      <c r="BP16" s="236"/>
      <c r="BQ16" s="236"/>
      <c r="BR16" s="236"/>
      <c r="BS16" s="236"/>
      <c r="BT16" s="236"/>
      <c r="BU16" s="236"/>
      <c r="BV16" s="236"/>
      <c r="BW16" s="236"/>
      <c r="BX16" s="236"/>
      <c r="BY16" s="236"/>
      <c r="BZ16" s="236"/>
      <c r="CA16" s="236"/>
      <c r="CB16" s="236"/>
      <c r="CC16" s="236"/>
      <c r="CD16" s="236"/>
      <c r="CE16" s="236"/>
      <c r="CF16" s="236"/>
      <c r="CG16" s="236"/>
    </row>
    <row r="17" spans="1:85" s="257" customFormat="1" ht="21.75" customHeight="1">
      <c r="A17" s="70">
        <f ca="1">IF(ROWS($1:4)&gt;COUNT(Dong),"",OFFSET(TH!E$1,SMALL(Dong,ROWS($1:4)),))</f>
        <v>42339</v>
      </c>
      <c r="B17" s="273" t="str">
        <f ca="1">IF(ROWS($1:4)&gt;COUNT(Dong),"",OFFSET(TH!G$1,SMALL(Dong,ROWS($1:4)),))</f>
        <v>Nguyễn Thị Mộng Tuyền</v>
      </c>
      <c r="C17" s="251" t="str">
        <f t="shared" ca="1" si="0"/>
        <v>Tiền</v>
      </c>
      <c r="D17" s="251" t="str">
        <f ca="1">IF(ROWS($1:4)&gt;COUNT(Dong),"",OFFSET(TH!D$1,SMALL(Dong,ROWS($1:4)),))</f>
        <v>N04</v>
      </c>
      <c r="E17" s="252" t="str">
        <f t="shared" ca="1" si="1"/>
        <v>Gò Công Đông - Tiền Giang</v>
      </c>
      <c r="F17" s="252">
        <f t="shared" ca="1" si="2"/>
        <v>311318331</v>
      </c>
      <c r="G17" s="253" t="str">
        <f ca="1">IF(ROWS($1:4)&gt;COUNT(Dong),"",OFFSET(TH!F$1,SMALL(Dong,ROWS($1:4)),))</f>
        <v>Cá chỉ vàng NL</v>
      </c>
      <c r="H17" s="254">
        <f ca="1">IF(ROWS($1:4)&gt;COUNT(Dong),"",OFFSET(TH!K$1,SMALL(Dong,ROWS($1:4)),))</f>
        <v>6640</v>
      </c>
      <c r="I17" s="254">
        <f ca="1">IF(ROWS($1:4)&gt;COUNT(Dong),"",OFFSET(TH!J$1,SMALL(Dong,ROWS($1:4)),))</f>
        <v>29500</v>
      </c>
      <c r="J17" s="258">
        <f t="shared" ca="1" si="3"/>
        <v>195880000</v>
      </c>
      <c r="K17" s="255"/>
      <c r="L17" s="25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236"/>
      <c r="BE17" s="236"/>
      <c r="BF17" s="236"/>
      <c r="BG17" s="236"/>
      <c r="BH17" s="236"/>
      <c r="BI17" s="236"/>
      <c r="BJ17" s="236"/>
      <c r="BK17" s="236"/>
      <c r="BL17" s="236"/>
      <c r="BM17" s="236"/>
      <c r="BN17" s="236"/>
      <c r="BO17" s="236"/>
      <c r="BP17" s="236"/>
      <c r="BQ17" s="236"/>
      <c r="BR17" s="236"/>
      <c r="BS17" s="236"/>
      <c r="BT17" s="236"/>
      <c r="BU17" s="236"/>
      <c r="BV17" s="236"/>
      <c r="BW17" s="236"/>
      <c r="BX17" s="236"/>
      <c r="BY17" s="236"/>
      <c r="BZ17" s="236"/>
      <c r="CA17" s="236"/>
      <c r="CB17" s="236"/>
      <c r="CC17" s="236"/>
      <c r="CD17" s="236"/>
      <c r="CE17" s="236"/>
      <c r="CF17" s="236"/>
      <c r="CG17" s="236"/>
    </row>
    <row r="18" spans="1:85" s="257" customFormat="1" ht="21.75" customHeight="1">
      <c r="A18" s="70">
        <f ca="1">IF(ROWS($1:5)&gt;COUNT(Dong),"",OFFSET(TH!E$1,SMALL(Dong,ROWS($1:5)),))</f>
        <v>42343</v>
      </c>
      <c r="B18" s="273" t="str">
        <f ca="1">IF(ROWS($1:5)&gt;COUNT(Dong),"",OFFSET(TH!G$1,SMALL(Dong,ROWS($1:5)),))</f>
        <v>Đỗ Thị Hoàng Mai</v>
      </c>
      <c r="C18" s="251" t="str">
        <f t="shared" ca="1" si="0"/>
        <v>Tiền</v>
      </c>
      <c r="D18" s="251" t="str">
        <f ca="1">IF(ROWS($1:5)&gt;COUNT(Dong),"",OFFSET(TH!D$1,SMALL(Dong,ROWS($1:5)),))</f>
        <v>N05</v>
      </c>
      <c r="E18" s="252" t="str">
        <f t="shared" ca="1" si="1"/>
        <v>Gò Công Tây - Tiền Giang</v>
      </c>
      <c r="F18" s="252">
        <f t="shared" ca="1" si="2"/>
        <v>310882191</v>
      </c>
      <c r="G18" s="253" t="str">
        <f ca="1">IF(ROWS($1:5)&gt;COUNT(Dong),"",OFFSET(TH!F$1,SMALL(Dong,ROWS($1:5)),))</f>
        <v>Cá chỉ vàng NL</v>
      </c>
      <c r="H18" s="254">
        <f ca="1">IF(ROWS($1:5)&gt;COUNT(Dong),"",OFFSET(TH!K$1,SMALL(Dong,ROWS($1:5)),))</f>
        <v>5985</v>
      </c>
      <c r="I18" s="254">
        <f ca="1">IF(ROWS($1:5)&gt;COUNT(Dong),"",OFFSET(TH!J$1,SMALL(Dong,ROWS($1:5)),))</f>
        <v>29500</v>
      </c>
      <c r="J18" s="258">
        <f t="shared" ca="1" si="3"/>
        <v>176557500</v>
      </c>
      <c r="K18" s="255"/>
      <c r="L18" s="256"/>
      <c r="M18" s="236"/>
      <c r="N18" s="236"/>
      <c r="O18" s="236"/>
      <c r="P18" s="236"/>
      <c r="Q18" s="236"/>
      <c r="R18" s="236"/>
      <c r="S18" s="236"/>
      <c r="T18" s="236"/>
      <c r="U18" s="236"/>
      <c r="V18" s="236"/>
      <c r="W18" s="236"/>
      <c r="X18" s="236"/>
      <c r="Y18" s="236"/>
      <c r="Z18" s="236"/>
      <c r="AA18" s="236"/>
      <c r="AB18" s="236"/>
      <c r="AC18" s="236"/>
      <c r="AD18" s="236"/>
      <c r="AE18" s="236"/>
      <c r="AF18" s="236"/>
      <c r="AG18" s="236"/>
      <c r="AH18" s="236"/>
      <c r="AI18" s="236"/>
      <c r="AJ18" s="236"/>
      <c r="AK18" s="236"/>
      <c r="AL18" s="236"/>
      <c r="AM18" s="236"/>
      <c r="AN18" s="236"/>
      <c r="AO18" s="236"/>
      <c r="AP18" s="236"/>
      <c r="AQ18" s="236"/>
      <c r="AR18" s="236"/>
      <c r="AS18" s="236"/>
      <c r="AT18" s="236"/>
      <c r="AU18" s="236"/>
      <c r="AV18" s="236"/>
      <c r="AW18" s="236"/>
      <c r="AX18" s="236"/>
      <c r="AY18" s="236"/>
      <c r="AZ18" s="236"/>
      <c r="BA18" s="236"/>
      <c r="BB18" s="236"/>
      <c r="BC18" s="236"/>
      <c r="BD18" s="236"/>
      <c r="BE18" s="236"/>
      <c r="BF18" s="236"/>
      <c r="BG18" s="236"/>
      <c r="BH18" s="236"/>
      <c r="BI18" s="236"/>
      <c r="BJ18" s="236"/>
      <c r="BK18" s="236"/>
      <c r="BL18" s="236"/>
      <c r="BM18" s="236"/>
      <c r="BN18" s="236"/>
      <c r="BO18" s="236"/>
      <c r="BP18" s="236"/>
      <c r="BQ18" s="236"/>
      <c r="BR18" s="236"/>
      <c r="BS18" s="236"/>
      <c r="BT18" s="236"/>
      <c r="BU18" s="236"/>
      <c r="BV18" s="236"/>
      <c r="BW18" s="236"/>
      <c r="BX18" s="236"/>
      <c r="BY18" s="236"/>
      <c r="BZ18" s="236"/>
      <c r="CA18" s="236"/>
      <c r="CB18" s="236"/>
      <c r="CC18" s="236"/>
      <c r="CD18" s="236"/>
      <c r="CE18" s="236"/>
      <c r="CF18" s="236"/>
      <c r="CG18" s="236"/>
    </row>
    <row r="19" spans="1:85" s="257" customFormat="1" ht="21.75" customHeight="1">
      <c r="A19" s="70">
        <f ca="1">IF(ROWS($1:6)&gt;COUNT(Dong),"",OFFSET(TH!E$1,SMALL(Dong,ROWS($1:6)),))</f>
        <v>42343</v>
      </c>
      <c r="B19" s="273" t="str">
        <f ca="1">IF(ROWS($1:6)&gt;COUNT(Dong),"",OFFSET(TH!G$1,SMALL(Dong,ROWS($1:6)),))</f>
        <v>Phạm Thị Chính</v>
      </c>
      <c r="C19" s="251" t="str">
        <f t="shared" ca="1" si="0"/>
        <v>Tiền</v>
      </c>
      <c r="D19" s="251" t="str">
        <f ca="1">IF(ROWS($1:6)&gt;COUNT(Dong),"",OFFSET(TH!D$1,SMALL(Dong,ROWS($1:6)),))</f>
        <v>N06</v>
      </c>
      <c r="E19" s="252" t="str">
        <f t="shared" ca="1" si="1"/>
        <v xml:space="preserve">Gò Công Tây - Tiền Giang </v>
      </c>
      <c r="F19" s="252">
        <f t="shared" ca="1" si="2"/>
        <v>310882158</v>
      </c>
      <c r="G19" s="253" t="str">
        <f ca="1">IF(ROWS($1:6)&gt;COUNT(Dong),"",OFFSET(TH!F$1,SMALL(Dong,ROWS($1:6)),))</f>
        <v>Cá chỉ vàng NL</v>
      </c>
      <c r="H19" s="254">
        <f ca="1">IF(ROWS($1:6)&gt;COUNT(Dong),"",OFFSET(TH!K$1,SMALL(Dong,ROWS($1:6)),))</f>
        <v>6680</v>
      </c>
      <c r="I19" s="254">
        <f ca="1">IF(ROWS($1:6)&gt;COUNT(Dong),"",OFFSET(TH!J$1,SMALL(Dong,ROWS($1:6)),))</f>
        <v>29500</v>
      </c>
      <c r="J19" s="258">
        <f t="shared" ca="1" si="3"/>
        <v>197060000</v>
      </c>
      <c r="K19" s="255"/>
      <c r="L19" s="256"/>
      <c r="M19" s="236"/>
      <c r="N19" s="236"/>
      <c r="O19" s="236"/>
      <c r="P19" s="236"/>
      <c r="Q19" s="236"/>
      <c r="R19" s="236"/>
      <c r="S19" s="236"/>
      <c r="T19" s="236"/>
      <c r="U19" s="236"/>
      <c r="V19" s="236"/>
      <c r="W19" s="236"/>
      <c r="X19" s="236"/>
      <c r="Y19" s="236"/>
      <c r="Z19" s="236"/>
      <c r="AA19" s="236"/>
      <c r="AB19" s="236"/>
      <c r="AC19" s="236"/>
      <c r="AD19" s="236"/>
      <c r="AE19" s="236"/>
      <c r="AF19" s="236"/>
      <c r="AG19" s="236"/>
      <c r="AH19" s="236"/>
      <c r="AI19" s="236"/>
      <c r="AJ19" s="236"/>
      <c r="AK19" s="236"/>
      <c r="AL19" s="236"/>
      <c r="AM19" s="236"/>
      <c r="AN19" s="236"/>
      <c r="AO19" s="236"/>
      <c r="AP19" s="236"/>
      <c r="AQ19" s="236"/>
      <c r="AR19" s="236"/>
      <c r="AS19" s="236"/>
      <c r="AT19" s="236"/>
      <c r="AU19" s="236"/>
      <c r="AV19" s="236"/>
      <c r="AW19" s="236"/>
      <c r="AX19" s="236"/>
      <c r="AY19" s="236"/>
      <c r="AZ19" s="236"/>
      <c r="BA19" s="236"/>
      <c r="BB19" s="236"/>
      <c r="BC19" s="236"/>
      <c r="BD19" s="236"/>
      <c r="BE19" s="236"/>
      <c r="BF19" s="236"/>
      <c r="BG19" s="236"/>
      <c r="BH19" s="236"/>
      <c r="BI19" s="236"/>
      <c r="BJ19" s="236"/>
      <c r="BK19" s="236"/>
      <c r="BL19" s="236"/>
      <c r="BM19" s="236"/>
      <c r="BN19" s="236"/>
      <c r="BO19" s="236"/>
      <c r="BP19" s="236"/>
      <c r="BQ19" s="236"/>
      <c r="BR19" s="236"/>
      <c r="BS19" s="236"/>
      <c r="BT19" s="236"/>
      <c r="BU19" s="236"/>
      <c r="BV19" s="236"/>
      <c r="BW19" s="236"/>
      <c r="BX19" s="236"/>
      <c r="BY19" s="236"/>
      <c r="BZ19" s="236"/>
      <c r="CA19" s="236"/>
      <c r="CB19" s="236"/>
      <c r="CC19" s="236"/>
      <c r="CD19" s="236"/>
      <c r="CE19" s="236"/>
      <c r="CF19" s="236"/>
      <c r="CG19" s="236"/>
    </row>
    <row r="20" spans="1:85" s="257" customFormat="1" ht="21.75" customHeight="1">
      <c r="A20" s="70">
        <f ca="1">IF(ROWS($1:7)&gt;COUNT(Dong),"",OFFSET(TH!E$1,SMALL(Dong,ROWS($1:7)),))</f>
        <v>42343</v>
      </c>
      <c r="B20" s="273" t="str">
        <f ca="1">IF(ROWS($1:7)&gt;COUNT(Dong),"",OFFSET(TH!G$1,SMALL(Dong,ROWS($1:7)),))</f>
        <v>Trần Thị Lang</v>
      </c>
      <c r="C20" s="251" t="str">
        <f t="shared" ca="1" si="0"/>
        <v>Tiền</v>
      </c>
      <c r="D20" s="251" t="str">
        <f ca="1">IF(ROWS($1:7)&gt;COUNT(Dong),"",OFFSET(TH!D$1,SMALL(Dong,ROWS($1:7)),))</f>
        <v>N07</v>
      </c>
      <c r="E20" s="252" t="str">
        <f t="shared" ca="1" si="1"/>
        <v>Mỹ Tho - Tiền Giang</v>
      </c>
      <c r="F20" s="252">
        <f t="shared" ca="1" si="2"/>
        <v>310033074</v>
      </c>
      <c r="G20" s="253" t="str">
        <f ca="1">IF(ROWS($1:7)&gt;COUNT(Dong),"",OFFSET(TH!F$1,SMALL(Dong,ROWS($1:7)),))</f>
        <v>Cá chỉ vàng NL</v>
      </c>
      <c r="H20" s="254">
        <f ca="1">IF(ROWS($1:7)&gt;COUNT(Dong),"",OFFSET(TH!K$1,SMALL(Dong,ROWS($1:7)),))</f>
        <v>6718</v>
      </c>
      <c r="I20" s="254">
        <f ca="1">IF(ROWS($1:7)&gt;COUNT(Dong),"",OFFSET(TH!J$1,SMALL(Dong,ROWS($1:7)),))</f>
        <v>29500</v>
      </c>
      <c r="J20" s="258">
        <f t="shared" ca="1" si="3"/>
        <v>198181000</v>
      </c>
      <c r="K20" s="255"/>
      <c r="L20" s="256"/>
      <c r="M20" s="236"/>
      <c r="N20" s="236"/>
      <c r="O20" s="236"/>
      <c r="P20" s="236"/>
      <c r="Q20" s="236"/>
      <c r="R20" s="236"/>
      <c r="S20" s="236"/>
      <c r="T20" s="236"/>
      <c r="U20" s="236"/>
      <c r="V20" s="236"/>
      <c r="W20" s="236"/>
      <c r="X20" s="236"/>
      <c r="Y20" s="236"/>
      <c r="Z20" s="236"/>
      <c r="AA20" s="236"/>
      <c r="AB20" s="236"/>
      <c r="AC20" s="236"/>
      <c r="AD20" s="236"/>
      <c r="AE20" s="236"/>
      <c r="AF20" s="236"/>
      <c r="AG20" s="236"/>
      <c r="AH20" s="236"/>
      <c r="AI20" s="236"/>
      <c r="AJ20" s="236"/>
      <c r="AK20" s="236"/>
      <c r="AL20" s="236"/>
      <c r="AM20" s="236"/>
      <c r="AN20" s="236"/>
      <c r="AO20" s="236"/>
      <c r="AP20" s="236"/>
      <c r="AQ20" s="236"/>
      <c r="AR20" s="236"/>
      <c r="AS20" s="236"/>
      <c r="AT20" s="236"/>
      <c r="AU20" s="236"/>
      <c r="AV20" s="236"/>
      <c r="AW20" s="236"/>
      <c r="AX20" s="236"/>
      <c r="AY20" s="236"/>
      <c r="AZ20" s="236"/>
      <c r="BA20" s="236"/>
      <c r="BB20" s="236"/>
      <c r="BC20" s="236"/>
      <c r="BD20" s="236"/>
      <c r="BE20" s="236"/>
      <c r="BF20" s="236"/>
      <c r="BG20" s="236"/>
      <c r="BH20" s="236"/>
      <c r="BI20" s="236"/>
      <c r="BJ20" s="236"/>
      <c r="BK20" s="236"/>
      <c r="BL20" s="236"/>
      <c r="BM20" s="236"/>
      <c r="BN20" s="236"/>
      <c r="BO20" s="236"/>
      <c r="BP20" s="236"/>
      <c r="BQ20" s="236"/>
      <c r="BR20" s="236"/>
      <c r="BS20" s="236"/>
      <c r="BT20" s="236"/>
      <c r="BU20" s="236"/>
      <c r="BV20" s="236"/>
      <c r="BW20" s="236"/>
      <c r="BX20" s="236"/>
      <c r="BY20" s="236"/>
      <c r="BZ20" s="236"/>
      <c r="CA20" s="236"/>
      <c r="CB20" s="236"/>
      <c r="CC20" s="236"/>
      <c r="CD20" s="236"/>
      <c r="CE20" s="236"/>
      <c r="CF20" s="236"/>
      <c r="CG20" s="236"/>
    </row>
    <row r="21" spans="1:85" s="257" customFormat="1" ht="21.75" customHeight="1">
      <c r="A21" s="70">
        <f ca="1">IF(ROWS($1:8)&gt;COUNT(Dong),"",OFFSET(TH!E$1,SMALL(Dong,ROWS($1:8)),))</f>
        <v>42344</v>
      </c>
      <c r="B21" s="273" t="str">
        <f ca="1">IF(ROWS($1:8)&gt;COUNT(Dong),"",OFFSET(TH!G$1,SMALL(Dong,ROWS($1:8)),))</f>
        <v>Nguyễn Văn Nhân</v>
      </c>
      <c r="C21" s="251" t="str">
        <f t="shared" ca="1" si="0"/>
        <v>Hai</v>
      </c>
      <c r="D21" s="251" t="str">
        <f ca="1">IF(ROWS($1:8)&gt;COUNT(Dong),"",OFFSET(TH!D$1,SMALL(Dong,ROWS($1:8)),))</f>
        <v>N08</v>
      </c>
      <c r="E21" s="252" t="str">
        <f t="shared" ca="1" si="1"/>
        <v>Thanh Hải - Bình Thuận</v>
      </c>
      <c r="F21" s="252">
        <f t="shared" ca="1" si="2"/>
        <v>261005222</v>
      </c>
      <c r="G21" s="253" t="str">
        <f ca="1">IF(ROWS($1:8)&gt;COUNT(Dong),"",OFFSET(TH!F$1,SMALL(Dong,ROWS($1:8)),))</f>
        <v>Cá cơm NL</v>
      </c>
      <c r="H21" s="254">
        <f ca="1">IF(ROWS($1:8)&gt;COUNT(Dong),"",OFFSET(TH!K$1,SMALL(Dong,ROWS($1:8)),))</f>
        <v>5012</v>
      </c>
      <c r="I21" s="254">
        <f ca="1">IF(ROWS($1:8)&gt;COUNT(Dong),"",OFFSET(TH!J$1,SMALL(Dong,ROWS($1:8)),))</f>
        <v>17500</v>
      </c>
      <c r="J21" s="258">
        <f t="shared" ca="1" si="3"/>
        <v>87710000</v>
      </c>
      <c r="K21" s="255"/>
      <c r="L21" s="256"/>
      <c r="M21" s="236"/>
      <c r="N21" s="236"/>
      <c r="O21" s="236"/>
      <c r="P21" s="236"/>
      <c r="Q21" s="236"/>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6"/>
      <c r="AV21" s="236"/>
      <c r="AW21" s="236"/>
      <c r="AX21" s="236"/>
      <c r="AY21" s="236"/>
      <c r="AZ21" s="236"/>
      <c r="BA21" s="236"/>
      <c r="BB21" s="236"/>
      <c r="BC21" s="236"/>
      <c r="BD21" s="236"/>
      <c r="BE21" s="236"/>
      <c r="BF21" s="236"/>
      <c r="BG21" s="236"/>
      <c r="BH21" s="236"/>
      <c r="BI21" s="236"/>
      <c r="BJ21" s="236"/>
      <c r="BK21" s="236"/>
      <c r="BL21" s="236"/>
      <c r="BM21" s="236"/>
      <c r="BN21" s="236"/>
      <c r="BO21" s="236"/>
      <c r="BP21" s="236"/>
      <c r="BQ21" s="236"/>
      <c r="BR21" s="236"/>
      <c r="BS21" s="236"/>
      <c r="BT21" s="236"/>
      <c r="BU21" s="236"/>
      <c r="BV21" s="236"/>
      <c r="BW21" s="236"/>
      <c r="BX21" s="236"/>
      <c r="BY21" s="236"/>
      <c r="BZ21" s="236"/>
      <c r="CA21" s="236"/>
      <c r="CB21" s="236"/>
      <c r="CC21" s="236"/>
      <c r="CD21" s="236"/>
      <c r="CE21" s="236"/>
      <c r="CF21" s="236"/>
      <c r="CG21" s="236"/>
    </row>
    <row r="22" spans="1:85" s="257" customFormat="1" ht="21.75" customHeight="1">
      <c r="A22" s="70">
        <f ca="1">IF(ROWS($1:9)&gt;COUNT(Dong),"",OFFSET(TH!E$1,SMALL(Dong,ROWS($1:9)),))</f>
        <v>42344</v>
      </c>
      <c r="B22" s="273" t="str">
        <f ca="1">IF(ROWS($1:9)&gt;COUNT(Dong),"",OFFSET(TH!G$1,SMALL(Dong,ROWS($1:9)),))</f>
        <v>Trần Văn An</v>
      </c>
      <c r="C22" s="251" t="str">
        <f t="shared" ca="1" si="0"/>
        <v>Hai</v>
      </c>
      <c r="D22" s="251" t="str">
        <f ca="1">IF(ROWS($1:9)&gt;COUNT(Dong),"",OFFSET(TH!D$1,SMALL(Dong,ROWS($1:9)),))</f>
        <v>N09</v>
      </c>
      <c r="E22" s="252" t="str">
        <f t="shared" ca="1" si="1"/>
        <v>Hàm Tân - Bình Thuận</v>
      </c>
      <c r="F22" s="252">
        <f t="shared" ca="1" si="2"/>
        <v>260690910</v>
      </c>
      <c r="G22" s="253" t="str">
        <f ca="1">IF(ROWS($1:9)&gt;COUNT(Dong),"",OFFSET(TH!F$1,SMALL(Dong,ROWS($1:9)),))</f>
        <v>Cá cơm NL</v>
      </c>
      <c r="H22" s="254">
        <f ca="1">IF(ROWS($1:9)&gt;COUNT(Dong),"",OFFSET(TH!K$1,SMALL(Dong,ROWS($1:9)),))</f>
        <v>5113</v>
      </c>
      <c r="I22" s="254">
        <f ca="1">IF(ROWS($1:9)&gt;COUNT(Dong),"",OFFSET(TH!J$1,SMALL(Dong,ROWS($1:9)),))</f>
        <v>17500</v>
      </c>
      <c r="J22" s="258">
        <f t="shared" ca="1" si="3"/>
        <v>89477500</v>
      </c>
      <c r="K22" s="255"/>
      <c r="L22" s="256"/>
      <c r="M22" s="236"/>
      <c r="N22" s="236"/>
      <c r="O22" s="236"/>
      <c r="P22" s="236"/>
      <c r="Q22" s="236"/>
      <c r="R22" s="236"/>
      <c r="S22" s="236"/>
      <c r="T22" s="236"/>
      <c r="U22" s="236"/>
      <c r="V22" s="236"/>
      <c r="W22" s="236"/>
      <c r="X22" s="236"/>
      <c r="Y22" s="236"/>
      <c r="Z22" s="236"/>
      <c r="AA22" s="236"/>
      <c r="AB22" s="236"/>
      <c r="AC22" s="236"/>
      <c r="AD22" s="236"/>
      <c r="AE22" s="236"/>
      <c r="AF22" s="236"/>
      <c r="AG22" s="236"/>
      <c r="AH22" s="236"/>
      <c r="AI22" s="236"/>
      <c r="AJ22" s="236"/>
      <c r="AK22" s="236"/>
      <c r="AL22" s="236"/>
      <c r="AM22" s="236"/>
      <c r="AN22" s="236"/>
      <c r="AO22" s="236"/>
      <c r="AP22" s="236"/>
      <c r="AQ22" s="236"/>
      <c r="AR22" s="236"/>
      <c r="AS22" s="236"/>
      <c r="AT22" s="236"/>
      <c r="AU22" s="236"/>
      <c r="AV22" s="236"/>
      <c r="AW22" s="236"/>
      <c r="AX22" s="236"/>
      <c r="AY22" s="236"/>
      <c r="AZ22" s="236"/>
      <c r="BA22" s="236"/>
      <c r="BB22" s="236"/>
      <c r="BC22" s="236"/>
      <c r="BD22" s="236"/>
      <c r="BE22" s="236"/>
      <c r="BF22" s="236"/>
      <c r="BG22" s="236"/>
      <c r="BH22" s="236"/>
      <c r="BI22" s="236"/>
      <c r="BJ22" s="236"/>
      <c r="BK22" s="236"/>
      <c r="BL22" s="236"/>
      <c r="BM22" s="236"/>
      <c r="BN22" s="236"/>
      <c r="BO22" s="236"/>
      <c r="BP22" s="236"/>
      <c r="BQ22" s="236"/>
      <c r="BR22" s="236"/>
      <c r="BS22" s="236"/>
      <c r="BT22" s="236"/>
      <c r="BU22" s="236"/>
      <c r="BV22" s="236"/>
      <c r="BW22" s="236"/>
      <c r="BX22" s="236"/>
      <c r="BY22" s="236"/>
      <c r="BZ22" s="236"/>
      <c r="CA22" s="236"/>
      <c r="CB22" s="236"/>
      <c r="CC22" s="236"/>
      <c r="CD22" s="236"/>
      <c r="CE22" s="236"/>
      <c r="CF22" s="236"/>
      <c r="CG22" s="236"/>
    </row>
    <row r="23" spans="1:85" s="257" customFormat="1" ht="21.75" customHeight="1">
      <c r="A23" s="70">
        <f ca="1">IF(ROWS($1:10)&gt;COUNT(Dong),"",OFFSET(TH!E$1,SMALL(Dong,ROWS($1:10)),))</f>
        <v>42350</v>
      </c>
      <c r="B23" s="273" t="str">
        <f ca="1">IF(ROWS($1:10)&gt;COUNT(Dong),"",OFFSET(TH!G$1,SMALL(Dong,ROWS($1:10)),))</f>
        <v>Võ Thị Bảy</v>
      </c>
      <c r="C23" s="251" t="str">
        <f t="shared" ca="1" si="0"/>
        <v>Tiền</v>
      </c>
      <c r="D23" s="251" t="str">
        <f ca="1">IF(ROWS($1:10)&gt;COUNT(Dong),"",OFFSET(TH!D$1,SMALL(Dong,ROWS($1:10)),))</f>
        <v>N10</v>
      </c>
      <c r="E23" s="252" t="str">
        <f t="shared" ca="1" si="1"/>
        <v>Vũng Tàu</v>
      </c>
      <c r="F23" s="252">
        <f t="shared" ca="1" si="2"/>
        <v>270106056</v>
      </c>
      <c r="G23" s="253" t="str">
        <f ca="1">IF(ROWS($1:10)&gt;COUNT(Dong),"",OFFSET(TH!F$1,SMALL(Dong,ROWS($1:10)),))</f>
        <v>Cá bò NL</v>
      </c>
      <c r="H23" s="254">
        <f ca="1">IF(ROWS($1:10)&gt;COUNT(Dong),"",OFFSET(TH!K$1,SMALL(Dong,ROWS($1:10)),))</f>
        <v>7019</v>
      </c>
      <c r="I23" s="254">
        <f ca="1">IF(ROWS($1:10)&gt;COUNT(Dong),"",OFFSET(TH!J$1,SMALL(Dong,ROWS($1:10)),))</f>
        <v>11000</v>
      </c>
      <c r="J23" s="258">
        <f t="shared" ca="1" si="3"/>
        <v>77209000</v>
      </c>
      <c r="K23" s="255"/>
      <c r="L23" s="256"/>
      <c r="M23" s="236"/>
      <c r="N23" s="236"/>
      <c r="O23" s="236"/>
      <c r="P23" s="236"/>
      <c r="Q23" s="236"/>
      <c r="R23" s="236"/>
      <c r="S23" s="236"/>
      <c r="T23" s="236"/>
      <c r="U23" s="236"/>
      <c r="V23" s="236"/>
      <c r="W23" s="236"/>
      <c r="X23" s="236"/>
      <c r="Y23" s="236"/>
      <c r="Z23" s="236"/>
      <c r="AA23" s="236"/>
      <c r="AB23" s="236"/>
      <c r="AC23" s="236"/>
      <c r="AD23" s="236"/>
      <c r="AE23" s="236"/>
      <c r="AF23" s="236"/>
      <c r="AG23" s="236"/>
      <c r="AH23" s="236"/>
      <c r="AI23" s="236"/>
      <c r="AJ23" s="236"/>
      <c r="AK23" s="236"/>
      <c r="AL23" s="236"/>
      <c r="AM23" s="236"/>
      <c r="AN23" s="236"/>
      <c r="AO23" s="236"/>
      <c r="AP23" s="236"/>
      <c r="AQ23" s="236"/>
      <c r="AR23" s="236"/>
      <c r="AS23" s="236"/>
      <c r="AT23" s="236"/>
      <c r="AU23" s="236"/>
      <c r="AV23" s="236"/>
      <c r="AW23" s="236"/>
      <c r="AX23" s="236"/>
      <c r="AY23" s="236"/>
      <c r="AZ23" s="236"/>
      <c r="BA23" s="236"/>
      <c r="BB23" s="236"/>
      <c r="BC23" s="236"/>
      <c r="BD23" s="236"/>
      <c r="BE23" s="236"/>
      <c r="BF23" s="236"/>
      <c r="BG23" s="236"/>
      <c r="BH23" s="236"/>
      <c r="BI23" s="236"/>
      <c r="BJ23" s="236"/>
      <c r="BK23" s="236"/>
      <c r="BL23" s="236"/>
      <c r="BM23" s="236"/>
      <c r="BN23" s="236"/>
      <c r="BO23" s="236"/>
      <c r="BP23" s="236"/>
      <c r="BQ23" s="236"/>
      <c r="BR23" s="236"/>
      <c r="BS23" s="236"/>
      <c r="BT23" s="236"/>
      <c r="BU23" s="236"/>
      <c r="BV23" s="236"/>
      <c r="BW23" s="236"/>
      <c r="BX23" s="236"/>
      <c r="BY23" s="236"/>
      <c r="BZ23" s="236"/>
      <c r="CA23" s="236"/>
      <c r="CB23" s="236"/>
      <c r="CC23" s="236"/>
      <c r="CD23" s="236"/>
      <c r="CE23" s="236"/>
      <c r="CF23" s="236"/>
      <c r="CG23" s="236"/>
    </row>
    <row r="24" spans="1:85" s="257" customFormat="1" ht="21.75" customHeight="1">
      <c r="A24" s="70">
        <f ca="1">IF(ROWS($1:11)&gt;COUNT(Dong),"",OFFSET(TH!E$1,SMALL(Dong,ROWS($1:11)),))</f>
        <v>42350</v>
      </c>
      <c r="B24" s="273" t="str">
        <f ca="1">IF(ROWS($1:11)&gt;COUNT(Dong),"",OFFSET(TH!G$1,SMALL(Dong,ROWS($1:11)),))</f>
        <v>Võ Văn Bá</v>
      </c>
      <c r="C24" s="251" t="str">
        <f t="shared" ca="1" si="0"/>
        <v>Tiền</v>
      </c>
      <c r="D24" s="251" t="str">
        <f ca="1">IF(ROWS($1:11)&gt;COUNT(Dong),"",OFFSET(TH!D$1,SMALL(Dong,ROWS($1:11)),))</f>
        <v>N11</v>
      </c>
      <c r="E24" s="252" t="str">
        <f t="shared" ca="1" si="1"/>
        <v>Vũng Tàu</v>
      </c>
      <c r="F24" s="252">
        <f t="shared" ca="1" si="2"/>
        <v>270176684</v>
      </c>
      <c r="G24" s="253" t="str">
        <f ca="1">IF(ROWS($1:11)&gt;COUNT(Dong),"",OFFSET(TH!F$1,SMALL(Dong,ROWS($1:11)),))</f>
        <v>Cá bò NL</v>
      </c>
      <c r="H24" s="254">
        <f ca="1">IF(ROWS($1:11)&gt;COUNT(Dong),"",OFFSET(TH!K$1,SMALL(Dong,ROWS($1:11)),))</f>
        <v>6983</v>
      </c>
      <c r="I24" s="254">
        <f ca="1">IF(ROWS($1:11)&gt;COUNT(Dong),"",OFFSET(TH!J$1,SMALL(Dong,ROWS($1:11)),))</f>
        <v>11000</v>
      </c>
      <c r="J24" s="258">
        <f t="shared" ca="1" si="3"/>
        <v>76813000</v>
      </c>
      <c r="K24" s="255"/>
      <c r="L24" s="256"/>
      <c r="M24" s="236"/>
      <c r="N24" s="236"/>
      <c r="O24" s="236"/>
      <c r="P24" s="236"/>
      <c r="Q24" s="236"/>
      <c r="R24" s="236"/>
      <c r="S24" s="236"/>
      <c r="T24" s="236"/>
      <c r="U24" s="236"/>
      <c r="V24" s="236"/>
      <c r="W24" s="236"/>
      <c r="X24" s="236"/>
      <c r="Y24" s="236"/>
      <c r="Z24" s="236"/>
      <c r="AA24" s="236"/>
      <c r="AB24" s="236"/>
      <c r="AC24" s="236"/>
      <c r="AD24" s="236"/>
      <c r="AE24" s="236"/>
      <c r="AF24" s="236"/>
      <c r="AG24" s="236"/>
      <c r="AH24" s="236"/>
      <c r="AI24" s="236"/>
      <c r="AJ24" s="236"/>
      <c r="AK24" s="236"/>
      <c r="AL24" s="236"/>
      <c r="AM24" s="236"/>
      <c r="AN24" s="236"/>
      <c r="AO24" s="236"/>
      <c r="AP24" s="236"/>
      <c r="AQ24" s="236"/>
      <c r="AR24" s="236"/>
      <c r="AS24" s="236"/>
      <c r="AT24" s="236"/>
      <c r="AU24" s="236"/>
      <c r="AV24" s="236"/>
      <c r="AW24" s="236"/>
      <c r="AX24" s="236"/>
      <c r="AY24" s="236"/>
      <c r="AZ24" s="236"/>
      <c r="BA24" s="236"/>
      <c r="BB24" s="236"/>
      <c r="BC24" s="236"/>
      <c r="BD24" s="236"/>
      <c r="BE24" s="236"/>
      <c r="BF24" s="236"/>
      <c r="BG24" s="236"/>
      <c r="BH24" s="236"/>
      <c r="BI24" s="236"/>
      <c r="BJ24" s="236"/>
      <c r="BK24" s="236"/>
      <c r="BL24" s="236"/>
      <c r="BM24" s="236"/>
      <c r="BN24" s="236"/>
      <c r="BO24" s="236"/>
      <c r="BP24" s="236"/>
      <c r="BQ24" s="236"/>
      <c r="BR24" s="236"/>
      <c r="BS24" s="236"/>
      <c r="BT24" s="236"/>
      <c r="BU24" s="236"/>
      <c r="BV24" s="236"/>
      <c r="BW24" s="236"/>
      <c r="BX24" s="236"/>
      <c r="BY24" s="236"/>
      <c r="BZ24" s="236"/>
      <c r="CA24" s="236"/>
      <c r="CB24" s="236"/>
      <c r="CC24" s="236"/>
      <c r="CD24" s="236"/>
      <c r="CE24" s="236"/>
      <c r="CF24" s="236"/>
      <c r="CG24" s="236"/>
    </row>
    <row r="25" spans="1:85" s="257" customFormat="1" ht="21.75" customHeight="1">
      <c r="A25" s="70">
        <f ca="1">IF(ROWS($1:12)&gt;COUNT(Dong),"",OFFSET(TH!E$1,SMALL(Dong,ROWS($1:12)),))</f>
        <v>42350</v>
      </c>
      <c r="B25" s="273" t="str">
        <f ca="1">IF(ROWS($1:12)&gt;COUNT(Dong),"",OFFSET(TH!G$1,SMALL(Dong,ROWS($1:12)),))</f>
        <v>Nguyễn Thanh Vân</v>
      </c>
      <c r="C25" s="251" t="str">
        <f t="shared" ca="1" si="0"/>
        <v>Tiền</v>
      </c>
      <c r="D25" s="251" t="str">
        <f ca="1">IF(ROWS($1:12)&gt;COUNT(Dong),"",OFFSET(TH!D$1,SMALL(Dong,ROWS($1:12)),))</f>
        <v>N12</v>
      </c>
      <c r="E25" s="252" t="str">
        <f t="shared" ca="1" si="1"/>
        <v>Vũng Tàu</v>
      </c>
      <c r="F25" s="252">
        <f t="shared" ca="1" si="2"/>
        <v>270176960</v>
      </c>
      <c r="G25" s="253" t="str">
        <f ca="1">IF(ROWS($1:12)&gt;COUNT(Dong),"",OFFSET(TH!F$1,SMALL(Dong,ROWS($1:12)),))</f>
        <v>Cá bò NL</v>
      </c>
      <c r="H25" s="254">
        <f ca="1">IF(ROWS($1:12)&gt;COUNT(Dong),"",OFFSET(TH!K$1,SMALL(Dong,ROWS($1:12)),))</f>
        <v>6890</v>
      </c>
      <c r="I25" s="254">
        <f ca="1">IF(ROWS($1:12)&gt;COUNT(Dong),"",OFFSET(TH!J$1,SMALL(Dong,ROWS($1:12)),))</f>
        <v>11000</v>
      </c>
      <c r="J25" s="258">
        <f t="shared" ca="1" si="3"/>
        <v>75790000</v>
      </c>
      <c r="K25" s="255"/>
      <c r="L25" s="256"/>
      <c r="M25" s="236"/>
      <c r="N25" s="236"/>
      <c r="O25" s="236"/>
      <c r="P25" s="236"/>
      <c r="Q25" s="236"/>
      <c r="R25" s="236"/>
      <c r="S25" s="236"/>
      <c r="T25" s="236"/>
      <c r="U25" s="236"/>
      <c r="V25" s="236"/>
      <c r="W25" s="236"/>
      <c r="X25" s="236"/>
      <c r="Y25" s="236"/>
      <c r="Z25" s="236"/>
      <c r="AA25" s="236"/>
      <c r="AB25" s="236"/>
      <c r="AC25" s="236"/>
      <c r="AD25" s="236"/>
      <c r="AE25" s="236"/>
      <c r="AF25" s="236"/>
      <c r="AG25" s="236"/>
      <c r="AH25" s="236"/>
      <c r="AI25" s="236"/>
      <c r="AJ25" s="236"/>
      <c r="AK25" s="236"/>
      <c r="AL25" s="236"/>
      <c r="AM25" s="236"/>
      <c r="AN25" s="236"/>
      <c r="AO25" s="236"/>
      <c r="AP25" s="236"/>
      <c r="AQ25" s="236"/>
      <c r="AR25" s="236"/>
      <c r="AS25" s="236"/>
      <c r="AT25" s="236"/>
      <c r="AU25" s="236"/>
      <c r="AV25" s="236"/>
      <c r="AW25" s="236"/>
      <c r="AX25" s="236"/>
      <c r="AY25" s="236"/>
      <c r="AZ25" s="236"/>
      <c r="BA25" s="236"/>
      <c r="BB25" s="236"/>
      <c r="BC25" s="236"/>
      <c r="BD25" s="236"/>
      <c r="BE25" s="236"/>
      <c r="BF25" s="236"/>
      <c r="BG25" s="236"/>
      <c r="BH25" s="236"/>
      <c r="BI25" s="236"/>
      <c r="BJ25" s="236"/>
      <c r="BK25" s="236"/>
      <c r="BL25" s="236"/>
      <c r="BM25" s="236"/>
      <c r="BN25" s="236"/>
      <c r="BO25" s="236"/>
      <c r="BP25" s="236"/>
      <c r="BQ25" s="236"/>
      <c r="BR25" s="236"/>
      <c r="BS25" s="236"/>
      <c r="BT25" s="236"/>
      <c r="BU25" s="236"/>
      <c r="BV25" s="236"/>
      <c r="BW25" s="236"/>
      <c r="BX25" s="236"/>
      <c r="BY25" s="236"/>
      <c r="BZ25" s="236"/>
      <c r="CA25" s="236"/>
      <c r="CB25" s="236"/>
      <c r="CC25" s="236"/>
      <c r="CD25" s="236"/>
      <c r="CE25" s="236"/>
      <c r="CF25" s="236"/>
      <c r="CG25" s="236"/>
    </row>
    <row r="26" spans="1:85" s="257" customFormat="1" ht="21.75" customHeight="1">
      <c r="A26" s="70">
        <f ca="1">IF(ROWS($1:13)&gt;COUNT(Dong),"",OFFSET(TH!E$1,SMALL(Dong,ROWS($1:13)),))</f>
        <v>42350</v>
      </c>
      <c r="B26" s="273" t="str">
        <f ca="1">IF(ROWS($1:13)&gt;COUNT(Dong),"",OFFSET(TH!G$1,SMALL(Dong,ROWS($1:13)),))</f>
        <v>Nguyễn Thanh Vinh</v>
      </c>
      <c r="C26" s="251" t="str">
        <f t="shared" ca="1" si="0"/>
        <v>Tiền</v>
      </c>
      <c r="D26" s="251" t="str">
        <f ca="1">IF(ROWS($1:13)&gt;COUNT(Dong),"",OFFSET(TH!D$1,SMALL(Dong,ROWS($1:13)),))</f>
        <v>N13</v>
      </c>
      <c r="E26" s="252" t="str">
        <f t="shared" ca="1" si="1"/>
        <v>Vũng Tàu</v>
      </c>
      <c r="F26" s="252">
        <f t="shared" ca="1" si="2"/>
        <v>271181056</v>
      </c>
      <c r="G26" s="253" t="str">
        <f ca="1">IF(ROWS($1:13)&gt;COUNT(Dong),"",OFFSET(TH!F$1,SMALL(Dong,ROWS($1:13)),))</f>
        <v>Cá bò NL</v>
      </c>
      <c r="H26" s="254">
        <f ca="1">IF(ROWS($1:13)&gt;COUNT(Dong),"",OFFSET(TH!K$1,SMALL(Dong,ROWS($1:13)),))</f>
        <v>7430</v>
      </c>
      <c r="I26" s="254">
        <f ca="1">IF(ROWS($1:13)&gt;COUNT(Dong),"",OFFSET(TH!J$1,SMALL(Dong,ROWS($1:13)),))</f>
        <v>11000</v>
      </c>
      <c r="J26" s="258">
        <f t="shared" ca="1" si="3"/>
        <v>81730000</v>
      </c>
      <c r="K26" s="255"/>
      <c r="L26" s="256"/>
      <c r="M26" s="236"/>
      <c r="N26" s="236"/>
      <c r="O26" s="236"/>
      <c r="P26" s="236"/>
      <c r="Q26" s="236"/>
      <c r="R26" s="236"/>
      <c r="S26" s="236"/>
      <c r="T26" s="236"/>
      <c r="U26" s="236"/>
      <c r="V26" s="236"/>
      <c r="W26" s="236"/>
      <c r="X26" s="236"/>
      <c r="Y26" s="236"/>
      <c r="Z26" s="236"/>
      <c r="AA26" s="236"/>
      <c r="AB26" s="236"/>
      <c r="AC26" s="236"/>
      <c r="AD26" s="236"/>
      <c r="AE26" s="236"/>
      <c r="AF26" s="236"/>
      <c r="AG26" s="236"/>
      <c r="AH26" s="236"/>
      <c r="AI26" s="236"/>
      <c r="AJ26" s="236"/>
      <c r="AK26" s="236"/>
      <c r="AL26" s="236"/>
      <c r="AM26" s="236"/>
      <c r="AN26" s="236"/>
      <c r="AO26" s="236"/>
      <c r="AP26" s="236"/>
      <c r="AQ26" s="236"/>
      <c r="AR26" s="236"/>
      <c r="AS26" s="236"/>
      <c r="AT26" s="236"/>
      <c r="AU26" s="236"/>
      <c r="AV26" s="236"/>
      <c r="AW26" s="236"/>
      <c r="AX26" s="236"/>
      <c r="AY26" s="236"/>
      <c r="AZ26" s="236"/>
      <c r="BA26" s="236"/>
      <c r="BB26" s="236"/>
      <c r="BC26" s="236"/>
      <c r="BD26" s="236"/>
      <c r="BE26" s="236"/>
      <c r="BF26" s="236"/>
      <c r="BG26" s="236"/>
      <c r="BH26" s="236"/>
      <c r="BI26" s="236"/>
      <c r="BJ26" s="236"/>
      <c r="BK26" s="236"/>
      <c r="BL26" s="236"/>
      <c r="BM26" s="236"/>
      <c r="BN26" s="236"/>
      <c r="BO26" s="236"/>
      <c r="BP26" s="236"/>
      <c r="BQ26" s="236"/>
      <c r="BR26" s="236"/>
      <c r="BS26" s="236"/>
      <c r="BT26" s="236"/>
      <c r="BU26" s="236"/>
      <c r="BV26" s="236"/>
      <c r="BW26" s="236"/>
      <c r="BX26" s="236"/>
      <c r="BY26" s="236"/>
      <c r="BZ26" s="236"/>
      <c r="CA26" s="236"/>
      <c r="CB26" s="236"/>
      <c r="CC26" s="236"/>
      <c r="CD26" s="236"/>
      <c r="CE26" s="236"/>
      <c r="CF26" s="236"/>
      <c r="CG26" s="236"/>
    </row>
    <row r="27" spans="1:85" s="257" customFormat="1" ht="21.75" customHeight="1">
      <c r="A27" s="70">
        <f ca="1">IF(ROWS($1:14)&gt;COUNT(Dong),"",OFFSET(TH!E$1,SMALL(Dong,ROWS($1:14)),))</f>
        <v>42350</v>
      </c>
      <c r="B27" s="273" t="str">
        <f ca="1">IF(ROWS($1:14)&gt;COUNT(Dong),"",OFFSET(TH!G$1,SMALL(Dong,ROWS($1:14)),))</f>
        <v>Hồ Thị Mỹ</v>
      </c>
      <c r="C27" s="251" t="str">
        <f t="shared" ca="1" si="0"/>
        <v>Tiền</v>
      </c>
      <c r="D27" s="251" t="str">
        <f ca="1">IF(ROWS($1:14)&gt;COUNT(Dong),"",OFFSET(TH!D$1,SMALL(Dong,ROWS($1:14)),))</f>
        <v>N14</v>
      </c>
      <c r="E27" s="252" t="str">
        <f t="shared" ca="1" si="1"/>
        <v>Vũng Tàu</v>
      </c>
      <c r="F27" s="252">
        <f t="shared" ca="1" si="2"/>
        <v>270986506</v>
      </c>
      <c r="G27" s="253" t="str">
        <f ca="1">IF(ROWS($1:14)&gt;COUNT(Dong),"",OFFSET(TH!F$1,SMALL(Dong,ROWS($1:14)),))</f>
        <v>Cá bò NL</v>
      </c>
      <c r="H27" s="254">
        <f ca="1">IF(ROWS($1:14)&gt;COUNT(Dong),"",OFFSET(TH!K$1,SMALL(Dong,ROWS($1:14)),))</f>
        <v>7028</v>
      </c>
      <c r="I27" s="254">
        <f ca="1">IF(ROWS($1:14)&gt;COUNT(Dong),"",OFFSET(TH!J$1,SMALL(Dong,ROWS($1:14)),))</f>
        <v>11000</v>
      </c>
      <c r="J27" s="258">
        <f t="shared" ca="1" si="3"/>
        <v>77308000</v>
      </c>
      <c r="K27" s="255"/>
      <c r="L27" s="256"/>
      <c r="M27" s="236"/>
      <c r="N27" s="236"/>
      <c r="O27" s="236"/>
      <c r="P27" s="236"/>
      <c r="Q27" s="236"/>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6"/>
      <c r="AV27" s="236"/>
      <c r="AW27" s="236"/>
      <c r="AX27" s="236"/>
      <c r="AY27" s="236"/>
      <c r="AZ27" s="236"/>
      <c r="BA27" s="236"/>
      <c r="BB27" s="236"/>
      <c r="BC27" s="236"/>
      <c r="BD27" s="236"/>
      <c r="BE27" s="236"/>
      <c r="BF27" s="236"/>
      <c r="BG27" s="236"/>
      <c r="BH27" s="236"/>
      <c r="BI27" s="236"/>
      <c r="BJ27" s="236"/>
      <c r="BK27" s="236"/>
      <c r="BL27" s="236"/>
      <c r="BM27" s="236"/>
      <c r="BN27" s="236"/>
      <c r="BO27" s="236"/>
      <c r="BP27" s="236"/>
      <c r="BQ27" s="236"/>
      <c r="BR27" s="236"/>
      <c r="BS27" s="236"/>
      <c r="BT27" s="236"/>
      <c r="BU27" s="236"/>
      <c r="BV27" s="236"/>
      <c r="BW27" s="236"/>
      <c r="BX27" s="236"/>
      <c r="BY27" s="236"/>
      <c r="BZ27" s="236"/>
      <c r="CA27" s="236"/>
      <c r="CB27" s="236"/>
      <c r="CC27" s="236"/>
      <c r="CD27" s="236"/>
      <c r="CE27" s="236"/>
      <c r="CF27" s="236"/>
      <c r="CG27" s="236"/>
    </row>
    <row r="28" spans="1:85" s="257" customFormat="1" ht="21.75" customHeight="1">
      <c r="A28" s="70">
        <f ca="1">IF(ROWS($1:15)&gt;COUNT(Dong),"",OFFSET(TH!E$1,SMALL(Dong,ROWS($1:15)),))</f>
        <v>42353</v>
      </c>
      <c r="B28" s="273" t="str">
        <f ca="1">IF(ROWS($1:15)&gt;COUNT(Dong),"",OFFSET(TH!G$1,SMALL(Dong,ROWS($1:15)),))</f>
        <v>Phạm Thị Ngọc</v>
      </c>
      <c r="C28" s="251" t="str">
        <f t="shared" ca="1" si="0"/>
        <v>Tiền</v>
      </c>
      <c r="D28" s="251" t="str">
        <f ca="1">IF(ROWS($1:15)&gt;COUNT(Dong),"",OFFSET(TH!D$1,SMALL(Dong,ROWS($1:15)),))</f>
        <v>N15</v>
      </c>
      <c r="E28" s="252" t="str">
        <f t="shared" ca="1" si="1"/>
        <v>Nha Trang - Khánh Hoà</v>
      </c>
      <c r="F28" s="252">
        <f t="shared" ca="1" si="2"/>
        <v>220557300</v>
      </c>
      <c r="G28" s="253" t="str">
        <f ca="1">IF(ROWS($1:15)&gt;COUNT(Dong),"",OFFSET(TH!F$1,SMALL(Dong,ROWS($1:15)),))</f>
        <v>Cá bò NL</v>
      </c>
      <c r="H28" s="254">
        <f ca="1">IF(ROWS($1:15)&gt;COUNT(Dong),"",OFFSET(TH!K$1,SMALL(Dong,ROWS($1:15)),))</f>
        <v>7060</v>
      </c>
      <c r="I28" s="254">
        <f ca="1">IF(ROWS($1:15)&gt;COUNT(Dong),"",OFFSET(TH!J$1,SMALL(Dong,ROWS($1:15)),))</f>
        <v>11000</v>
      </c>
      <c r="J28" s="258">
        <f t="shared" ca="1" si="3"/>
        <v>77660000</v>
      </c>
      <c r="K28" s="255"/>
      <c r="L28" s="256"/>
      <c r="M28" s="236"/>
      <c r="N28" s="236"/>
      <c r="O28" s="236"/>
      <c r="P28" s="236"/>
      <c r="Q28" s="236"/>
      <c r="R28" s="236"/>
      <c r="S28" s="236"/>
      <c r="T28" s="236"/>
      <c r="U28" s="236"/>
      <c r="V28" s="236"/>
      <c r="W28" s="236"/>
      <c r="X28" s="236"/>
      <c r="Y28" s="236"/>
      <c r="Z28" s="236"/>
      <c r="AA28" s="236"/>
      <c r="AB28" s="236"/>
      <c r="AC28" s="236"/>
      <c r="AD28" s="236"/>
      <c r="AE28" s="236"/>
      <c r="AF28" s="236"/>
      <c r="AG28" s="236"/>
      <c r="AH28" s="236"/>
      <c r="AI28" s="236"/>
      <c r="AJ28" s="236"/>
      <c r="AK28" s="236"/>
      <c r="AL28" s="236"/>
      <c r="AM28" s="236"/>
      <c r="AN28" s="236"/>
      <c r="AO28" s="236"/>
      <c r="AP28" s="236"/>
      <c r="AQ28" s="236"/>
      <c r="AR28" s="236"/>
      <c r="AS28" s="236"/>
      <c r="AT28" s="236"/>
      <c r="AU28" s="236"/>
      <c r="AV28" s="236"/>
      <c r="AW28" s="236"/>
      <c r="AX28" s="236"/>
      <c r="AY28" s="236"/>
      <c r="AZ28" s="236"/>
      <c r="BA28" s="236"/>
      <c r="BB28" s="236"/>
      <c r="BC28" s="236"/>
      <c r="BD28" s="236"/>
      <c r="BE28" s="236"/>
      <c r="BF28" s="236"/>
      <c r="BG28" s="236"/>
      <c r="BH28" s="236"/>
      <c r="BI28" s="236"/>
      <c r="BJ28" s="236"/>
      <c r="BK28" s="236"/>
      <c r="BL28" s="236"/>
      <c r="BM28" s="236"/>
      <c r="BN28" s="236"/>
      <c r="BO28" s="236"/>
      <c r="BP28" s="236"/>
      <c r="BQ28" s="236"/>
      <c r="BR28" s="236"/>
      <c r="BS28" s="236"/>
      <c r="BT28" s="236"/>
      <c r="BU28" s="236"/>
      <c r="BV28" s="236"/>
      <c r="BW28" s="236"/>
      <c r="BX28" s="236"/>
      <c r="BY28" s="236"/>
      <c r="BZ28" s="236"/>
      <c r="CA28" s="236"/>
      <c r="CB28" s="236"/>
      <c r="CC28" s="236"/>
      <c r="CD28" s="236"/>
      <c r="CE28" s="236"/>
      <c r="CF28" s="236"/>
      <c r="CG28" s="236"/>
    </row>
    <row r="29" spans="1:85" s="257" customFormat="1" ht="21.75" customHeight="1">
      <c r="A29" s="70">
        <f ca="1">IF(ROWS($1:16)&gt;COUNT(Dong),"",OFFSET(TH!E$1,SMALL(Dong,ROWS($1:16)),))</f>
        <v>42353</v>
      </c>
      <c r="B29" s="273" t="str">
        <f ca="1">IF(ROWS($1:16)&gt;COUNT(Dong),"",OFFSET(TH!G$1,SMALL(Dong,ROWS($1:16)),))</f>
        <v>Nguyễn Đức Tiến</v>
      </c>
      <c r="C29" s="251" t="str">
        <f t="shared" ca="1" si="0"/>
        <v>Tiền</v>
      </c>
      <c r="D29" s="251" t="str">
        <f ca="1">IF(ROWS($1:16)&gt;COUNT(Dong),"",OFFSET(TH!D$1,SMALL(Dong,ROWS($1:16)),))</f>
        <v>N16</v>
      </c>
      <c r="E29" s="252" t="str">
        <f t="shared" ca="1" si="1"/>
        <v>Vũng Tàu</v>
      </c>
      <c r="F29" s="252">
        <f t="shared" ca="1" si="2"/>
        <v>273249576</v>
      </c>
      <c r="G29" s="253" t="str">
        <f ca="1">IF(ROWS($1:16)&gt;COUNT(Dong),"",OFFSET(TH!F$1,SMALL(Dong,ROWS($1:16)),))</f>
        <v>Cá bò NL</v>
      </c>
      <c r="H29" s="254">
        <f ca="1">IF(ROWS($1:16)&gt;COUNT(Dong),"",OFFSET(TH!K$1,SMALL(Dong,ROWS($1:16)),))</f>
        <v>7083</v>
      </c>
      <c r="I29" s="254">
        <f ca="1">IF(ROWS($1:16)&gt;COUNT(Dong),"",OFFSET(TH!J$1,SMALL(Dong,ROWS($1:16)),))</f>
        <v>11000</v>
      </c>
      <c r="J29" s="258">
        <f t="shared" ca="1" si="3"/>
        <v>77913000</v>
      </c>
      <c r="K29" s="255"/>
      <c r="L29" s="25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6"/>
      <c r="BD29" s="236"/>
      <c r="BE29" s="236"/>
      <c r="BF29" s="236"/>
      <c r="BG29" s="236"/>
      <c r="BH29" s="236"/>
      <c r="BI29" s="236"/>
      <c r="BJ29" s="236"/>
      <c r="BK29" s="236"/>
      <c r="BL29" s="236"/>
      <c r="BM29" s="236"/>
      <c r="BN29" s="236"/>
      <c r="BO29" s="236"/>
      <c r="BP29" s="236"/>
      <c r="BQ29" s="236"/>
      <c r="BR29" s="236"/>
      <c r="BS29" s="236"/>
      <c r="BT29" s="236"/>
      <c r="BU29" s="236"/>
      <c r="BV29" s="236"/>
      <c r="BW29" s="236"/>
      <c r="BX29" s="236"/>
      <c r="BY29" s="236"/>
      <c r="BZ29" s="236"/>
      <c r="CA29" s="236"/>
      <c r="CB29" s="236"/>
      <c r="CC29" s="236"/>
      <c r="CD29" s="236"/>
      <c r="CE29" s="236"/>
      <c r="CF29" s="236"/>
      <c r="CG29" s="236"/>
    </row>
    <row r="30" spans="1:85" s="257" customFormat="1" ht="21.75" customHeight="1">
      <c r="A30" s="70">
        <f ca="1">IF(ROWS($1:17)&gt;COUNT(Dong),"",OFFSET(TH!E$1,SMALL(Dong,ROWS($1:17)),))</f>
        <v>42353</v>
      </c>
      <c r="B30" s="273" t="str">
        <f ca="1">IF(ROWS($1:17)&gt;COUNT(Dong),"",OFFSET(TH!G$1,SMALL(Dong,ROWS($1:17)),))</f>
        <v>Võ Văn Bá</v>
      </c>
      <c r="C30" s="251" t="str">
        <f t="shared" ca="1" si="0"/>
        <v>Tiền</v>
      </c>
      <c r="D30" s="251" t="str">
        <f ca="1">IF(ROWS($1:17)&gt;COUNT(Dong),"",OFFSET(TH!D$1,SMALL(Dong,ROWS($1:17)),))</f>
        <v>N17</v>
      </c>
      <c r="E30" s="252" t="str">
        <f t="shared" ca="1" si="1"/>
        <v>Vũng Tàu</v>
      </c>
      <c r="F30" s="252">
        <f t="shared" ca="1" si="2"/>
        <v>270176684</v>
      </c>
      <c r="G30" s="253" t="str">
        <f ca="1">IF(ROWS($1:17)&gt;COUNT(Dong),"",OFFSET(TH!F$1,SMALL(Dong,ROWS($1:17)),))</f>
        <v>Cá bò NL</v>
      </c>
      <c r="H30" s="254">
        <f ca="1">IF(ROWS($1:17)&gt;COUNT(Dong),"",OFFSET(TH!K$1,SMALL(Dong,ROWS($1:17)),))</f>
        <v>6340</v>
      </c>
      <c r="I30" s="254">
        <f ca="1">IF(ROWS($1:17)&gt;COUNT(Dong),"",OFFSET(TH!J$1,SMALL(Dong,ROWS($1:17)),))</f>
        <v>11000</v>
      </c>
      <c r="J30" s="258">
        <f t="shared" ca="1" si="3"/>
        <v>69740000</v>
      </c>
      <c r="K30" s="255"/>
      <c r="L30" s="256"/>
      <c r="M30" s="236"/>
      <c r="N30" s="236"/>
      <c r="O30" s="236"/>
      <c r="P30" s="236"/>
      <c r="Q30" s="236"/>
      <c r="R30" s="236"/>
      <c r="S30" s="236"/>
      <c r="T30" s="236"/>
      <c r="U30" s="236"/>
      <c r="V30" s="236"/>
      <c r="W30" s="236"/>
      <c r="X30" s="236"/>
      <c r="Y30" s="236"/>
      <c r="Z30" s="236"/>
      <c r="AA30" s="236"/>
      <c r="AB30" s="236"/>
      <c r="AC30" s="236"/>
      <c r="AD30" s="236"/>
      <c r="AE30" s="236"/>
      <c r="AF30" s="236"/>
      <c r="AG30" s="236"/>
      <c r="AH30" s="236"/>
      <c r="AI30" s="236"/>
      <c r="AJ30" s="236"/>
      <c r="AK30" s="236"/>
      <c r="AL30" s="236"/>
      <c r="AM30" s="236"/>
      <c r="AN30" s="236"/>
      <c r="AO30" s="236"/>
      <c r="AP30" s="236"/>
      <c r="AQ30" s="236"/>
      <c r="AR30" s="236"/>
      <c r="AS30" s="236"/>
      <c r="AT30" s="236"/>
      <c r="AU30" s="236"/>
      <c r="AV30" s="236"/>
      <c r="AW30" s="236"/>
      <c r="AX30" s="236"/>
      <c r="AY30" s="236"/>
      <c r="AZ30" s="236"/>
      <c r="BA30" s="236"/>
      <c r="BB30" s="236"/>
      <c r="BC30" s="236"/>
      <c r="BD30" s="236"/>
      <c r="BE30" s="236"/>
      <c r="BF30" s="236"/>
      <c r="BG30" s="236"/>
      <c r="BH30" s="236"/>
      <c r="BI30" s="236"/>
      <c r="BJ30" s="236"/>
      <c r="BK30" s="236"/>
      <c r="BL30" s="236"/>
      <c r="BM30" s="236"/>
      <c r="BN30" s="236"/>
      <c r="BO30" s="236"/>
      <c r="BP30" s="236"/>
      <c r="BQ30" s="236"/>
      <c r="BR30" s="236"/>
      <c r="BS30" s="236"/>
      <c r="BT30" s="236"/>
      <c r="BU30" s="236"/>
      <c r="BV30" s="236"/>
      <c r="BW30" s="236"/>
      <c r="BX30" s="236"/>
      <c r="BY30" s="236"/>
      <c r="BZ30" s="236"/>
      <c r="CA30" s="236"/>
      <c r="CB30" s="236"/>
      <c r="CC30" s="236"/>
      <c r="CD30" s="236"/>
      <c r="CE30" s="236"/>
      <c r="CF30" s="236"/>
      <c r="CG30" s="236"/>
    </row>
    <row r="31" spans="1:85" s="257" customFormat="1" ht="21.75" customHeight="1">
      <c r="A31" s="70">
        <f ca="1">IF(ROWS($1:18)&gt;COUNT(Dong),"",OFFSET(TH!E$1,SMALL(Dong,ROWS($1:18)),))</f>
        <v>42353</v>
      </c>
      <c r="B31" s="273" t="str">
        <f ca="1">IF(ROWS($1:18)&gt;COUNT(Dong),"",OFFSET(TH!G$1,SMALL(Dong,ROWS($1:18)),))</f>
        <v>Nguyễn Thanh Vân</v>
      </c>
      <c r="C31" s="251" t="str">
        <f t="shared" ca="1" si="0"/>
        <v>Tiền</v>
      </c>
      <c r="D31" s="251" t="str">
        <f ca="1">IF(ROWS($1:18)&gt;COUNT(Dong),"",OFFSET(TH!D$1,SMALL(Dong,ROWS($1:18)),))</f>
        <v>N18</v>
      </c>
      <c r="E31" s="252" t="str">
        <f t="shared" ca="1" si="1"/>
        <v>Vũng Tàu</v>
      </c>
      <c r="F31" s="252">
        <f t="shared" ca="1" si="2"/>
        <v>270176960</v>
      </c>
      <c r="G31" s="253" t="str">
        <f ca="1">IF(ROWS($1:18)&gt;COUNT(Dong),"",OFFSET(TH!F$1,SMALL(Dong,ROWS($1:18)),))</f>
        <v>Cá bò NL</v>
      </c>
      <c r="H31" s="254">
        <f ca="1">IF(ROWS($1:18)&gt;COUNT(Dong),"",OFFSET(TH!K$1,SMALL(Dong,ROWS($1:18)),))</f>
        <v>7120</v>
      </c>
      <c r="I31" s="254">
        <f ca="1">IF(ROWS($1:18)&gt;COUNT(Dong),"",OFFSET(TH!J$1,SMALL(Dong,ROWS($1:18)),))</f>
        <v>11000</v>
      </c>
      <c r="J31" s="258">
        <f t="shared" ca="1" si="3"/>
        <v>78320000</v>
      </c>
      <c r="K31" s="255"/>
      <c r="L31" s="256"/>
      <c r="M31" s="236"/>
      <c r="N31" s="236"/>
      <c r="O31" s="236"/>
      <c r="P31" s="236"/>
      <c r="Q31" s="236"/>
      <c r="R31" s="236"/>
      <c r="S31" s="236"/>
      <c r="T31" s="236"/>
      <c r="U31" s="236"/>
      <c r="V31" s="236"/>
      <c r="W31" s="236"/>
      <c r="X31" s="236"/>
      <c r="Y31" s="236"/>
      <c r="Z31" s="236"/>
      <c r="AA31" s="236"/>
      <c r="AB31" s="236"/>
      <c r="AC31" s="236"/>
      <c r="AD31" s="236"/>
      <c r="AE31" s="236"/>
      <c r="AF31" s="236"/>
      <c r="AG31" s="236"/>
      <c r="AH31" s="236"/>
      <c r="AI31" s="236"/>
      <c r="AJ31" s="236"/>
      <c r="AK31" s="236"/>
      <c r="AL31" s="236"/>
      <c r="AM31" s="236"/>
      <c r="AN31" s="236"/>
      <c r="AO31" s="236"/>
      <c r="AP31" s="236"/>
      <c r="AQ31" s="236"/>
      <c r="AR31" s="236"/>
      <c r="AS31" s="236"/>
      <c r="AT31" s="236"/>
      <c r="AU31" s="236"/>
      <c r="AV31" s="236"/>
      <c r="AW31" s="236"/>
      <c r="AX31" s="236"/>
      <c r="AY31" s="236"/>
      <c r="AZ31" s="236"/>
      <c r="BA31" s="236"/>
      <c r="BB31" s="236"/>
      <c r="BC31" s="236"/>
      <c r="BD31" s="236"/>
      <c r="BE31" s="236"/>
      <c r="BF31" s="236"/>
      <c r="BG31" s="236"/>
      <c r="BH31" s="236"/>
      <c r="BI31" s="236"/>
      <c r="BJ31" s="236"/>
      <c r="BK31" s="236"/>
      <c r="BL31" s="236"/>
      <c r="BM31" s="236"/>
      <c r="BN31" s="236"/>
      <c r="BO31" s="236"/>
      <c r="BP31" s="236"/>
      <c r="BQ31" s="236"/>
      <c r="BR31" s="236"/>
      <c r="BS31" s="236"/>
      <c r="BT31" s="236"/>
      <c r="BU31" s="236"/>
      <c r="BV31" s="236"/>
      <c r="BW31" s="236"/>
      <c r="BX31" s="236"/>
      <c r="BY31" s="236"/>
      <c r="BZ31" s="236"/>
      <c r="CA31" s="236"/>
      <c r="CB31" s="236"/>
      <c r="CC31" s="236"/>
      <c r="CD31" s="236"/>
      <c r="CE31" s="236"/>
      <c r="CF31" s="236"/>
      <c r="CG31" s="236"/>
    </row>
    <row r="32" spans="1:85" s="257" customFormat="1" ht="21.75" customHeight="1">
      <c r="A32" s="70">
        <f ca="1">IF(ROWS($1:19)&gt;COUNT(Dong),"",OFFSET(TH!E$1,SMALL(Dong,ROWS($1:19)),))</f>
        <v>42353</v>
      </c>
      <c r="B32" s="273" t="str">
        <f ca="1">IF(ROWS($1:19)&gt;COUNT(Dong),"",OFFSET(TH!G$1,SMALL(Dong,ROWS($1:19)),))</f>
        <v>Võ Thị Bảy</v>
      </c>
      <c r="C32" s="251" t="str">
        <f t="shared" ca="1" si="0"/>
        <v>Tiền</v>
      </c>
      <c r="D32" s="251" t="str">
        <f ca="1">IF(ROWS($1:19)&gt;COUNT(Dong),"",OFFSET(TH!D$1,SMALL(Dong,ROWS($1:19)),))</f>
        <v>N19</v>
      </c>
      <c r="E32" s="252" t="str">
        <f t="shared" ca="1" si="1"/>
        <v>Vũng Tàu</v>
      </c>
      <c r="F32" s="252">
        <f t="shared" ca="1" si="2"/>
        <v>270106056</v>
      </c>
      <c r="G32" s="253" t="str">
        <f ca="1">IF(ROWS($1:19)&gt;COUNT(Dong),"",OFFSET(TH!F$1,SMALL(Dong,ROWS($1:19)),))</f>
        <v>Cá bò NL</v>
      </c>
      <c r="H32" s="254">
        <f ca="1">IF(ROWS($1:19)&gt;COUNT(Dong),"",OFFSET(TH!K$1,SMALL(Dong,ROWS($1:19)),))</f>
        <v>7250</v>
      </c>
      <c r="I32" s="254">
        <f ca="1">IF(ROWS($1:19)&gt;COUNT(Dong),"",OFFSET(TH!J$1,SMALL(Dong,ROWS($1:19)),))</f>
        <v>11000</v>
      </c>
      <c r="J32" s="258">
        <f t="shared" ca="1" si="3"/>
        <v>79750000</v>
      </c>
      <c r="K32" s="255"/>
      <c r="L32" s="256"/>
      <c r="M32" s="236"/>
      <c r="N32" s="236"/>
      <c r="O32" s="236"/>
      <c r="P32" s="236"/>
      <c r="Q32" s="236"/>
      <c r="R32" s="236"/>
      <c r="S32" s="236"/>
      <c r="T32" s="236"/>
      <c r="U32" s="236"/>
      <c r="V32" s="236"/>
      <c r="W32" s="236"/>
      <c r="X32" s="236"/>
      <c r="Y32" s="236"/>
      <c r="Z32" s="236"/>
      <c r="AA32" s="236"/>
      <c r="AB32" s="236"/>
      <c r="AC32" s="236"/>
      <c r="AD32" s="236"/>
      <c r="AE32" s="236"/>
      <c r="AF32" s="236"/>
      <c r="AG32" s="236"/>
      <c r="AH32" s="236"/>
      <c r="AI32" s="236"/>
      <c r="AJ32" s="236"/>
      <c r="AK32" s="236"/>
      <c r="AL32" s="236"/>
      <c r="AM32" s="236"/>
      <c r="AN32" s="236"/>
      <c r="AO32" s="236"/>
      <c r="AP32" s="236"/>
      <c r="AQ32" s="236"/>
      <c r="AR32" s="236"/>
      <c r="AS32" s="236"/>
      <c r="AT32" s="236"/>
      <c r="AU32" s="236"/>
      <c r="AV32" s="236"/>
      <c r="AW32" s="236"/>
      <c r="AX32" s="236"/>
      <c r="AY32" s="236"/>
      <c r="AZ32" s="236"/>
      <c r="BA32" s="236"/>
      <c r="BB32" s="236"/>
      <c r="BC32" s="236"/>
      <c r="BD32" s="236"/>
      <c r="BE32" s="236"/>
      <c r="BF32" s="236"/>
      <c r="BG32" s="236"/>
      <c r="BH32" s="236"/>
      <c r="BI32" s="236"/>
      <c r="BJ32" s="236"/>
      <c r="BK32" s="236"/>
      <c r="BL32" s="236"/>
      <c r="BM32" s="236"/>
      <c r="BN32" s="236"/>
      <c r="BO32" s="236"/>
      <c r="BP32" s="236"/>
      <c r="BQ32" s="236"/>
      <c r="BR32" s="236"/>
      <c r="BS32" s="236"/>
      <c r="BT32" s="236"/>
      <c r="BU32" s="236"/>
      <c r="BV32" s="236"/>
      <c r="BW32" s="236"/>
      <c r="BX32" s="236"/>
      <c r="BY32" s="236"/>
      <c r="BZ32" s="236"/>
      <c r="CA32" s="236"/>
      <c r="CB32" s="236"/>
      <c r="CC32" s="236"/>
      <c r="CD32" s="236"/>
      <c r="CE32" s="236"/>
      <c r="CF32" s="236"/>
      <c r="CG32" s="236"/>
    </row>
    <row r="33" spans="1:85" s="257" customFormat="1" ht="21.75" customHeight="1">
      <c r="A33" s="70">
        <f ca="1">IF(ROWS($1:20)&gt;COUNT(Dong),"",OFFSET(TH!E$1,SMALL(Dong,ROWS($1:20)),))</f>
        <v>42357</v>
      </c>
      <c r="B33" s="273" t="str">
        <f ca="1">IF(ROWS($1:20)&gt;COUNT(Dong),"",OFFSET(TH!G$1,SMALL(Dong,ROWS($1:20)),))</f>
        <v>Võ Thị Bảy</v>
      </c>
      <c r="C33" s="251" t="str">
        <f t="shared" ca="1" si="0"/>
        <v>Tiền</v>
      </c>
      <c r="D33" s="251" t="str">
        <f ca="1">IF(ROWS($1:20)&gt;COUNT(Dong),"",OFFSET(TH!D$1,SMALL(Dong,ROWS($1:20)),))</f>
        <v>N20</v>
      </c>
      <c r="E33" s="252" t="str">
        <f t="shared" ca="1" si="1"/>
        <v>Vũng Tàu</v>
      </c>
      <c r="F33" s="252">
        <f t="shared" ca="1" si="2"/>
        <v>270106056</v>
      </c>
      <c r="G33" s="253" t="str">
        <f ca="1">IF(ROWS($1:20)&gt;COUNT(Dong),"",OFFSET(TH!F$1,SMALL(Dong,ROWS($1:20)),))</f>
        <v>Cá bò NL</v>
      </c>
      <c r="H33" s="254">
        <f ca="1">IF(ROWS($1:20)&gt;COUNT(Dong),"",OFFSET(TH!K$1,SMALL(Dong,ROWS($1:20)),))</f>
        <v>7256</v>
      </c>
      <c r="I33" s="254">
        <f ca="1">IF(ROWS($1:20)&gt;COUNT(Dong),"",OFFSET(TH!J$1,SMALL(Dong,ROWS($1:20)),))</f>
        <v>11000</v>
      </c>
      <c r="J33" s="258">
        <f t="shared" ca="1" si="3"/>
        <v>79816000</v>
      </c>
      <c r="K33" s="255"/>
      <c r="L33" s="256"/>
      <c r="M33" s="236"/>
      <c r="N33" s="236"/>
      <c r="O33" s="236"/>
      <c r="P33" s="236"/>
      <c r="Q33" s="236"/>
      <c r="R33" s="236"/>
      <c r="S33" s="236"/>
      <c r="T33" s="236"/>
      <c r="U33" s="236"/>
      <c r="V33" s="236"/>
      <c r="W33" s="236"/>
      <c r="X33" s="236"/>
      <c r="Y33" s="236"/>
      <c r="Z33" s="236"/>
      <c r="AA33" s="236"/>
      <c r="AB33" s="236"/>
      <c r="AC33" s="236"/>
      <c r="AD33" s="236"/>
      <c r="AE33" s="236"/>
      <c r="AF33" s="236"/>
      <c r="AG33" s="236"/>
      <c r="AH33" s="236"/>
      <c r="AI33" s="236"/>
      <c r="AJ33" s="236"/>
      <c r="AK33" s="236"/>
      <c r="AL33" s="236"/>
      <c r="AM33" s="236"/>
      <c r="AN33" s="236"/>
      <c r="AO33" s="236"/>
      <c r="AP33" s="236"/>
      <c r="AQ33" s="236"/>
      <c r="AR33" s="236"/>
      <c r="AS33" s="236"/>
      <c r="AT33" s="236"/>
      <c r="AU33" s="236"/>
      <c r="AV33" s="236"/>
      <c r="AW33" s="236"/>
      <c r="AX33" s="236"/>
      <c r="AY33" s="236"/>
      <c r="AZ33" s="236"/>
      <c r="BA33" s="236"/>
      <c r="BB33" s="236"/>
      <c r="BC33" s="236"/>
      <c r="BD33" s="236"/>
      <c r="BE33" s="236"/>
      <c r="BF33" s="236"/>
      <c r="BG33" s="236"/>
      <c r="BH33" s="236"/>
      <c r="BI33" s="236"/>
      <c r="BJ33" s="236"/>
      <c r="BK33" s="236"/>
      <c r="BL33" s="236"/>
      <c r="BM33" s="236"/>
      <c r="BN33" s="236"/>
      <c r="BO33" s="236"/>
      <c r="BP33" s="236"/>
      <c r="BQ33" s="236"/>
      <c r="BR33" s="236"/>
      <c r="BS33" s="236"/>
      <c r="BT33" s="236"/>
      <c r="BU33" s="236"/>
      <c r="BV33" s="236"/>
      <c r="BW33" s="236"/>
      <c r="BX33" s="236"/>
      <c r="BY33" s="236"/>
      <c r="BZ33" s="236"/>
      <c r="CA33" s="236"/>
      <c r="CB33" s="236"/>
      <c r="CC33" s="236"/>
      <c r="CD33" s="236"/>
      <c r="CE33" s="236"/>
      <c r="CF33" s="236"/>
      <c r="CG33" s="236"/>
    </row>
    <row r="34" spans="1:85" s="257" customFormat="1" ht="21.75" customHeight="1">
      <c r="A34" s="70">
        <f ca="1">IF(ROWS($1:21)&gt;COUNT(Dong),"",OFFSET(TH!E$1,SMALL(Dong,ROWS($1:21)),))</f>
        <v>42357</v>
      </c>
      <c r="B34" s="273" t="str">
        <f ca="1">IF(ROWS($1:21)&gt;COUNT(Dong),"",OFFSET(TH!G$1,SMALL(Dong,ROWS($1:21)),))</f>
        <v>Võ Văn Bá</v>
      </c>
      <c r="C34" s="251" t="str">
        <f t="shared" ca="1" si="0"/>
        <v>Tiền</v>
      </c>
      <c r="D34" s="251" t="str">
        <f ca="1">IF(ROWS($1:21)&gt;COUNT(Dong),"",OFFSET(TH!D$1,SMALL(Dong,ROWS($1:21)),))</f>
        <v>N21</v>
      </c>
      <c r="E34" s="252" t="str">
        <f t="shared" ca="1" si="1"/>
        <v>Vũng Tàu</v>
      </c>
      <c r="F34" s="252">
        <f t="shared" ca="1" si="2"/>
        <v>270176684</v>
      </c>
      <c r="G34" s="253" t="str">
        <f ca="1">IF(ROWS($1:21)&gt;COUNT(Dong),"",OFFSET(TH!F$1,SMALL(Dong,ROWS($1:21)),))</f>
        <v>Cá bò NL</v>
      </c>
      <c r="H34" s="254">
        <f ca="1">IF(ROWS($1:21)&gt;COUNT(Dong),"",OFFSET(TH!K$1,SMALL(Dong,ROWS($1:21)),))</f>
        <v>7780</v>
      </c>
      <c r="I34" s="254">
        <f ca="1">IF(ROWS($1:21)&gt;COUNT(Dong),"",OFFSET(TH!J$1,SMALL(Dong,ROWS($1:21)),))</f>
        <v>11000</v>
      </c>
      <c r="J34" s="258">
        <f t="shared" ca="1" si="3"/>
        <v>85580000</v>
      </c>
      <c r="K34" s="255"/>
      <c r="L34" s="256"/>
      <c r="M34" s="236"/>
      <c r="N34" s="236"/>
      <c r="O34" s="236"/>
      <c r="P34" s="236"/>
      <c r="Q34" s="236"/>
      <c r="R34" s="236"/>
      <c r="S34" s="236"/>
      <c r="T34" s="236"/>
      <c r="U34" s="236"/>
      <c r="V34" s="236"/>
      <c r="W34" s="236"/>
      <c r="X34" s="236"/>
      <c r="Y34" s="236"/>
      <c r="Z34" s="236"/>
      <c r="AA34" s="236"/>
      <c r="AB34" s="236"/>
      <c r="AC34" s="236"/>
      <c r="AD34" s="236"/>
      <c r="AE34" s="236"/>
      <c r="AF34" s="236"/>
      <c r="AG34" s="236"/>
      <c r="AH34" s="236"/>
      <c r="AI34" s="236"/>
      <c r="AJ34" s="236"/>
      <c r="AK34" s="236"/>
      <c r="AL34" s="236"/>
      <c r="AM34" s="236"/>
      <c r="AN34" s="236"/>
      <c r="AO34" s="236"/>
      <c r="AP34" s="236"/>
      <c r="AQ34" s="236"/>
      <c r="AR34" s="236"/>
      <c r="AS34" s="236"/>
      <c r="AT34" s="236"/>
      <c r="AU34" s="236"/>
      <c r="AV34" s="236"/>
      <c r="AW34" s="236"/>
      <c r="AX34" s="236"/>
      <c r="AY34" s="236"/>
      <c r="AZ34" s="236"/>
      <c r="BA34" s="236"/>
      <c r="BB34" s="236"/>
      <c r="BC34" s="236"/>
      <c r="BD34" s="236"/>
      <c r="BE34" s="236"/>
      <c r="BF34" s="236"/>
      <c r="BG34" s="236"/>
      <c r="BH34" s="236"/>
      <c r="BI34" s="236"/>
      <c r="BJ34" s="236"/>
      <c r="BK34" s="236"/>
      <c r="BL34" s="236"/>
      <c r="BM34" s="236"/>
      <c r="BN34" s="236"/>
      <c r="BO34" s="236"/>
      <c r="BP34" s="236"/>
      <c r="BQ34" s="236"/>
      <c r="BR34" s="236"/>
      <c r="BS34" s="236"/>
      <c r="BT34" s="236"/>
      <c r="BU34" s="236"/>
      <c r="BV34" s="236"/>
      <c r="BW34" s="236"/>
      <c r="BX34" s="236"/>
      <c r="BY34" s="236"/>
      <c r="BZ34" s="236"/>
      <c r="CA34" s="236"/>
      <c r="CB34" s="236"/>
      <c r="CC34" s="236"/>
      <c r="CD34" s="236"/>
      <c r="CE34" s="236"/>
      <c r="CF34" s="236"/>
      <c r="CG34" s="236"/>
    </row>
    <row r="35" spans="1:85" s="257" customFormat="1" ht="21.75" customHeight="1">
      <c r="A35" s="70">
        <f ca="1">IF(ROWS($1:22)&gt;COUNT(Dong),"",OFFSET(TH!E$1,SMALL(Dong,ROWS($1:22)),))</f>
        <v>42357</v>
      </c>
      <c r="B35" s="273" t="str">
        <f ca="1">IF(ROWS($1:22)&gt;COUNT(Dong),"",OFFSET(TH!G$1,SMALL(Dong,ROWS($1:22)),))</f>
        <v>Nguyễn Thanh Vân</v>
      </c>
      <c r="C35" s="251" t="str">
        <f t="shared" ca="1" si="0"/>
        <v>Tiền</v>
      </c>
      <c r="D35" s="251" t="str">
        <f ca="1">IF(ROWS($1:22)&gt;COUNT(Dong),"",OFFSET(TH!D$1,SMALL(Dong,ROWS($1:22)),))</f>
        <v>N22</v>
      </c>
      <c r="E35" s="252" t="str">
        <f t="shared" ca="1" si="1"/>
        <v>Vũng Tàu</v>
      </c>
      <c r="F35" s="252">
        <f t="shared" ca="1" si="2"/>
        <v>270176960</v>
      </c>
      <c r="G35" s="253" t="str">
        <f ca="1">IF(ROWS($1:22)&gt;COUNT(Dong),"",OFFSET(TH!F$1,SMALL(Dong,ROWS($1:22)),))</f>
        <v>Cá bò NL</v>
      </c>
      <c r="H35" s="254">
        <f ca="1">IF(ROWS($1:22)&gt;COUNT(Dong),"",OFFSET(TH!K$1,SMALL(Dong,ROWS($1:22)),))</f>
        <v>7960</v>
      </c>
      <c r="I35" s="254">
        <f ca="1">IF(ROWS($1:22)&gt;COUNT(Dong),"",OFFSET(TH!J$1,SMALL(Dong,ROWS($1:22)),))</f>
        <v>11000</v>
      </c>
      <c r="J35" s="258">
        <f t="shared" ca="1" si="3"/>
        <v>87560000</v>
      </c>
      <c r="K35" s="255"/>
      <c r="L35" s="256"/>
      <c r="M35" s="236"/>
      <c r="N35" s="236"/>
      <c r="O35" s="236"/>
      <c r="P35" s="236"/>
      <c r="Q35" s="236"/>
      <c r="R35" s="236"/>
      <c r="S35" s="236"/>
      <c r="T35" s="236"/>
      <c r="U35" s="236"/>
      <c r="V35" s="236"/>
      <c r="W35" s="236"/>
      <c r="X35" s="236"/>
      <c r="Y35" s="236"/>
      <c r="Z35" s="236"/>
      <c r="AA35" s="236"/>
      <c r="AB35" s="236"/>
      <c r="AC35" s="236"/>
      <c r="AD35" s="236"/>
      <c r="AE35" s="236"/>
      <c r="AF35" s="236"/>
      <c r="AG35" s="236"/>
      <c r="AH35" s="236"/>
      <c r="AI35" s="236"/>
      <c r="AJ35" s="236"/>
      <c r="AK35" s="236"/>
      <c r="AL35" s="236"/>
      <c r="AM35" s="236"/>
      <c r="AN35" s="236"/>
      <c r="AO35" s="236"/>
      <c r="AP35" s="236"/>
      <c r="AQ35" s="236"/>
      <c r="AR35" s="236"/>
      <c r="AS35" s="236"/>
      <c r="AT35" s="236"/>
      <c r="AU35" s="236"/>
      <c r="AV35" s="236"/>
      <c r="AW35" s="236"/>
      <c r="AX35" s="236"/>
      <c r="AY35" s="236"/>
      <c r="AZ35" s="236"/>
      <c r="BA35" s="236"/>
      <c r="BB35" s="236"/>
      <c r="BC35" s="236"/>
      <c r="BD35" s="236"/>
      <c r="BE35" s="236"/>
      <c r="BF35" s="236"/>
      <c r="BG35" s="236"/>
      <c r="BH35" s="236"/>
      <c r="BI35" s="236"/>
      <c r="BJ35" s="236"/>
      <c r="BK35" s="236"/>
      <c r="BL35" s="236"/>
      <c r="BM35" s="236"/>
      <c r="BN35" s="236"/>
      <c r="BO35" s="236"/>
      <c r="BP35" s="236"/>
      <c r="BQ35" s="236"/>
      <c r="BR35" s="236"/>
      <c r="BS35" s="236"/>
      <c r="BT35" s="236"/>
      <c r="BU35" s="236"/>
      <c r="BV35" s="236"/>
      <c r="BW35" s="236"/>
      <c r="BX35" s="236"/>
      <c r="BY35" s="236"/>
      <c r="BZ35" s="236"/>
      <c r="CA35" s="236"/>
      <c r="CB35" s="236"/>
      <c r="CC35" s="236"/>
      <c r="CD35" s="236"/>
      <c r="CE35" s="236"/>
      <c r="CF35" s="236"/>
      <c r="CG35" s="236"/>
    </row>
    <row r="36" spans="1:85" s="257" customFormat="1" ht="21.75" customHeight="1">
      <c r="A36" s="70">
        <f ca="1">IF(ROWS($1:23)&gt;COUNT(Dong),"",OFFSET(TH!E$1,SMALL(Dong,ROWS($1:23)),))</f>
        <v>42357</v>
      </c>
      <c r="B36" s="273" t="str">
        <f ca="1">IF(ROWS($1:23)&gt;COUNT(Dong),"",OFFSET(TH!G$1,SMALL(Dong,ROWS($1:23)),))</f>
        <v>Hồ Thị Mỹ</v>
      </c>
      <c r="C36" s="251" t="str">
        <f t="shared" ca="1" si="0"/>
        <v>Tiền</v>
      </c>
      <c r="D36" s="251" t="str">
        <f ca="1">IF(ROWS($1:23)&gt;COUNT(Dong),"",OFFSET(TH!D$1,SMALL(Dong,ROWS($1:23)),))</f>
        <v>N23</v>
      </c>
      <c r="E36" s="252" t="str">
        <f t="shared" ca="1" si="1"/>
        <v>Vũng Tàu</v>
      </c>
      <c r="F36" s="252">
        <f t="shared" ca="1" si="2"/>
        <v>270986506</v>
      </c>
      <c r="G36" s="253" t="str">
        <f ca="1">IF(ROWS($1:23)&gt;COUNT(Dong),"",OFFSET(TH!F$1,SMALL(Dong,ROWS($1:23)),))</f>
        <v>Cá bò NL</v>
      </c>
      <c r="H36" s="254">
        <f ca="1">IF(ROWS($1:23)&gt;COUNT(Dong),"",OFFSET(TH!K$1,SMALL(Dong,ROWS($1:23)),))</f>
        <v>7840</v>
      </c>
      <c r="I36" s="254">
        <f ca="1">IF(ROWS($1:23)&gt;COUNT(Dong),"",OFFSET(TH!J$1,SMALL(Dong,ROWS($1:23)),))</f>
        <v>11000</v>
      </c>
      <c r="J36" s="258">
        <f t="shared" ca="1" si="3"/>
        <v>86240000</v>
      </c>
      <c r="K36" s="255"/>
      <c r="L36" s="256"/>
      <c r="M36" s="236"/>
      <c r="N36" s="236"/>
      <c r="O36" s="236"/>
      <c r="P36" s="236"/>
      <c r="Q36" s="236"/>
      <c r="R36" s="236"/>
      <c r="S36" s="236"/>
      <c r="T36" s="236"/>
      <c r="U36" s="236"/>
      <c r="V36" s="236"/>
      <c r="W36" s="236"/>
      <c r="X36" s="236"/>
      <c r="Y36" s="236"/>
      <c r="Z36" s="236"/>
      <c r="AA36" s="236"/>
      <c r="AB36" s="236"/>
      <c r="AC36" s="236"/>
      <c r="AD36" s="236"/>
      <c r="AE36" s="236"/>
      <c r="AF36" s="236"/>
      <c r="AG36" s="236"/>
      <c r="AH36" s="236"/>
      <c r="AI36" s="236"/>
      <c r="AJ36" s="236"/>
      <c r="AK36" s="236"/>
      <c r="AL36" s="236"/>
      <c r="AM36" s="236"/>
      <c r="AN36" s="236"/>
      <c r="AO36" s="236"/>
      <c r="AP36" s="236"/>
      <c r="AQ36" s="236"/>
      <c r="AR36" s="236"/>
      <c r="AS36" s="236"/>
      <c r="AT36" s="236"/>
      <c r="AU36" s="236"/>
      <c r="AV36" s="236"/>
      <c r="AW36" s="236"/>
      <c r="AX36" s="236"/>
      <c r="AY36" s="236"/>
      <c r="AZ36" s="236"/>
      <c r="BA36" s="236"/>
      <c r="BB36" s="236"/>
      <c r="BC36" s="236"/>
      <c r="BD36" s="236"/>
      <c r="BE36" s="236"/>
      <c r="BF36" s="236"/>
      <c r="BG36" s="236"/>
      <c r="BH36" s="236"/>
      <c r="BI36" s="236"/>
      <c r="BJ36" s="236"/>
      <c r="BK36" s="236"/>
      <c r="BL36" s="236"/>
      <c r="BM36" s="236"/>
      <c r="BN36" s="236"/>
      <c r="BO36" s="236"/>
      <c r="BP36" s="236"/>
      <c r="BQ36" s="236"/>
      <c r="BR36" s="236"/>
      <c r="BS36" s="236"/>
      <c r="BT36" s="236"/>
      <c r="BU36" s="236"/>
      <c r="BV36" s="236"/>
      <c r="BW36" s="236"/>
      <c r="BX36" s="236"/>
      <c r="BY36" s="236"/>
      <c r="BZ36" s="236"/>
      <c r="CA36" s="236"/>
      <c r="CB36" s="236"/>
      <c r="CC36" s="236"/>
      <c r="CD36" s="236"/>
      <c r="CE36" s="236"/>
      <c r="CF36" s="236"/>
      <c r="CG36" s="236"/>
    </row>
    <row r="37" spans="1:85" s="257" customFormat="1" ht="21.75" customHeight="1">
      <c r="A37" s="70">
        <f ca="1">IF(ROWS($1:24)&gt;COUNT(Dong),"",OFFSET(TH!E$1,SMALL(Dong,ROWS($1:24)),))</f>
        <v>42360</v>
      </c>
      <c r="B37" s="273" t="str">
        <f ca="1">IF(ROWS($1:24)&gt;COUNT(Dong),"",OFFSET(TH!G$1,SMALL(Dong,ROWS($1:24)),))</f>
        <v>Phạm Thị Ngọc</v>
      </c>
      <c r="C37" s="251" t="str">
        <f t="shared" ca="1" si="0"/>
        <v>Tiền</v>
      </c>
      <c r="D37" s="251" t="str">
        <f ca="1">IF(ROWS($1:24)&gt;COUNT(Dong),"",OFFSET(TH!D$1,SMALL(Dong,ROWS($1:24)),))</f>
        <v>N24</v>
      </c>
      <c r="E37" s="252" t="str">
        <f t="shared" ca="1" si="1"/>
        <v>Nha Trang - Khánh Hoà</v>
      </c>
      <c r="F37" s="252">
        <f t="shared" ca="1" si="2"/>
        <v>220557300</v>
      </c>
      <c r="G37" s="253" t="str">
        <f ca="1">IF(ROWS($1:24)&gt;COUNT(Dong),"",OFFSET(TH!F$1,SMALL(Dong,ROWS($1:24)),))</f>
        <v>Cá bò NL</v>
      </c>
      <c r="H37" s="254">
        <f ca="1">IF(ROWS($1:24)&gt;COUNT(Dong),"",OFFSET(TH!K$1,SMALL(Dong,ROWS($1:24)),))</f>
        <v>7980</v>
      </c>
      <c r="I37" s="254">
        <f ca="1">IF(ROWS($1:24)&gt;COUNT(Dong),"",OFFSET(TH!J$1,SMALL(Dong,ROWS($1:24)),))</f>
        <v>11000</v>
      </c>
      <c r="J37" s="258">
        <f t="shared" ca="1" si="3"/>
        <v>87780000</v>
      </c>
      <c r="K37" s="255"/>
      <c r="L37" s="256"/>
      <c r="M37" s="236"/>
      <c r="N37" s="236"/>
      <c r="O37" s="236"/>
      <c r="P37" s="236"/>
      <c r="Q37" s="236"/>
      <c r="R37" s="236"/>
      <c r="S37" s="236"/>
      <c r="T37" s="236"/>
      <c r="U37" s="236"/>
      <c r="V37" s="236"/>
      <c r="W37" s="236"/>
      <c r="X37" s="236"/>
      <c r="Y37" s="236"/>
      <c r="Z37" s="236"/>
      <c r="AA37" s="236"/>
      <c r="AB37" s="236"/>
      <c r="AC37" s="236"/>
      <c r="AD37" s="236"/>
      <c r="AE37" s="236"/>
      <c r="AF37" s="236"/>
      <c r="AG37" s="236"/>
      <c r="AH37" s="236"/>
      <c r="AI37" s="236"/>
      <c r="AJ37" s="236"/>
      <c r="AK37" s="236"/>
      <c r="AL37" s="236"/>
      <c r="AM37" s="236"/>
      <c r="AN37" s="236"/>
      <c r="AO37" s="236"/>
      <c r="AP37" s="236"/>
      <c r="AQ37" s="236"/>
      <c r="AR37" s="236"/>
      <c r="AS37" s="236"/>
      <c r="AT37" s="236"/>
      <c r="AU37" s="236"/>
      <c r="AV37" s="236"/>
      <c r="AW37" s="236"/>
      <c r="AX37" s="236"/>
      <c r="AY37" s="236"/>
      <c r="AZ37" s="236"/>
      <c r="BA37" s="236"/>
      <c r="BB37" s="236"/>
      <c r="BC37" s="236"/>
      <c r="BD37" s="236"/>
      <c r="BE37" s="236"/>
      <c r="BF37" s="236"/>
      <c r="BG37" s="236"/>
      <c r="BH37" s="236"/>
      <c r="BI37" s="236"/>
      <c r="BJ37" s="236"/>
      <c r="BK37" s="236"/>
      <c r="BL37" s="236"/>
      <c r="BM37" s="236"/>
      <c r="BN37" s="236"/>
      <c r="BO37" s="236"/>
      <c r="BP37" s="236"/>
      <c r="BQ37" s="236"/>
      <c r="BR37" s="236"/>
      <c r="BS37" s="236"/>
      <c r="BT37" s="236"/>
      <c r="BU37" s="236"/>
      <c r="BV37" s="236"/>
      <c r="BW37" s="236"/>
      <c r="BX37" s="236"/>
      <c r="BY37" s="236"/>
      <c r="BZ37" s="236"/>
      <c r="CA37" s="236"/>
      <c r="CB37" s="236"/>
      <c r="CC37" s="236"/>
      <c r="CD37" s="236"/>
      <c r="CE37" s="236"/>
      <c r="CF37" s="236"/>
      <c r="CG37" s="236"/>
    </row>
    <row r="38" spans="1:85" s="257" customFormat="1" ht="21.75" customHeight="1">
      <c r="A38" s="70">
        <f ca="1">IF(ROWS($1:25)&gt;COUNT(Dong),"",OFFSET(TH!E$1,SMALL(Dong,ROWS($1:25)),))</f>
        <v>42360</v>
      </c>
      <c r="B38" s="273" t="str">
        <f ca="1">IF(ROWS($1:25)&gt;COUNT(Dong),"",OFFSET(TH!G$1,SMALL(Dong,ROWS($1:25)),))</f>
        <v>Nguyễn Đức Tiến</v>
      </c>
      <c r="C38" s="251" t="str">
        <f t="shared" ca="1" si="0"/>
        <v>Tiền</v>
      </c>
      <c r="D38" s="251" t="str">
        <f ca="1">IF(ROWS($1:25)&gt;COUNT(Dong),"",OFFSET(TH!D$1,SMALL(Dong,ROWS($1:25)),))</f>
        <v>N25</v>
      </c>
      <c r="E38" s="252" t="str">
        <f t="shared" ca="1" si="1"/>
        <v>Vũng Tàu</v>
      </c>
      <c r="F38" s="252">
        <f t="shared" ca="1" si="2"/>
        <v>273249576</v>
      </c>
      <c r="G38" s="253" t="str">
        <f ca="1">IF(ROWS($1:25)&gt;COUNT(Dong),"",OFFSET(TH!F$1,SMALL(Dong,ROWS($1:25)),))</f>
        <v>Cá bò NL</v>
      </c>
      <c r="H38" s="254">
        <f ca="1">IF(ROWS($1:25)&gt;COUNT(Dong),"",OFFSET(TH!K$1,SMALL(Dong,ROWS($1:25)),))</f>
        <v>7790</v>
      </c>
      <c r="I38" s="254">
        <f ca="1">IF(ROWS($1:25)&gt;COUNT(Dong),"",OFFSET(TH!J$1,SMALL(Dong,ROWS($1:25)),))</f>
        <v>11000</v>
      </c>
      <c r="J38" s="258">
        <f t="shared" ca="1" si="3"/>
        <v>85690000</v>
      </c>
      <c r="K38" s="255"/>
      <c r="L38" s="256"/>
      <c r="M38" s="236"/>
      <c r="N38" s="236"/>
      <c r="O38" s="236"/>
      <c r="P38" s="236"/>
      <c r="Q38" s="236"/>
      <c r="R38" s="236"/>
      <c r="S38" s="236"/>
      <c r="T38" s="236"/>
      <c r="U38" s="236"/>
      <c r="V38" s="236"/>
      <c r="W38" s="236"/>
      <c r="X38" s="236"/>
      <c r="Y38" s="236"/>
      <c r="Z38" s="236"/>
      <c r="AA38" s="236"/>
      <c r="AB38" s="236"/>
      <c r="AC38" s="236"/>
      <c r="AD38" s="236"/>
      <c r="AE38" s="236"/>
      <c r="AF38" s="236"/>
      <c r="AG38" s="236"/>
      <c r="AH38" s="236"/>
      <c r="AI38" s="236"/>
      <c r="AJ38" s="236"/>
      <c r="AK38" s="236"/>
      <c r="AL38" s="236"/>
      <c r="AM38" s="236"/>
      <c r="AN38" s="236"/>
      <c r="AO38" s="236"/>
      <c r="AP38" s="236"/>
      <c r="AQ38" s="236"/>
      <c r="AR38" s="236"/>
      <c r="AS38" s="236"/>
      <c r="AT38" s="236"/>
      <c r="AU38" s="236"/>
      <c r="AV38" s="236"/>
      <c r="AW38" s="236"/>
      <c r="AX38" s="236"/>
      <c r="AY38" s="236"/>
      <c r="AZ38" s="236"/>
      <c r="BA38" s="236"/>
      <c r="BB38" s="236"/>
      <c r="BC38" s="236"/>
      <c r="BD38" s="236"/>
      <c r="BE38" s="236"/>
      <c r="BF38" s="236"/>
      <c r="BG38" s="236"/>
      <c r="BH38" s="236"/>
      <c r="BI38" s="236"/>
      <c r="BJ38" s="236"/>
      <c r="BK38" s="236"/>
      <c r="BL38" s="236"/>
      <c r="BM38" s="236"/>
      <c r="BN38" s="236"/>
      <c r="BO38" s="236"/>
      <c r="BP38" s="236"/>
      <c r="BQ38" s="236"/>
      <c r="BR38" s="236"/>
      <c r="BS38" s="236"/>
      <c r="BT38" s="236"/>
      <c r="BU38" s="236"/>
      <c r="BV38" s="236"/>
      <c r="BW38" s="236"/>
      <c r="BX38" s="236"/>
      <c r="BY38" s="236"/>
      <c r="BZ38" s="236"/>
      <c r="CA38" s="236"/>
      <c r="CB38" s="236"/>
      <c r="CC38" s="236"/>
      <c r="CD38" s="236"/>
      <c r="CE38" s="236"/>
      <c r="CF38" s="236"/>
      <c r="CG38" s="236"/>
    </row>
    <row r="39" spans="1:85" s="257" customFormat="1" ht="21.75" customHeight="1">
      <c r="A39" s="70">
        <f ca="1">IF(ROWS($1:26)&gt;COUNT(Dong),"",OFFSET(TH!E$1,SMALL(Dong,ROWS($1:26)),))</f>
        <v>42360</v>
      </c>
      <c r="B39" s="273" t="str">
        <f ca="1">IF(ROWS($1:26)&gt;COUNT(Dong),"",OFFSET(TH!G$1,SMALL(Dong,ROWS($1:26)),))</f>
        <v>Võ Thị Bảy</v>
      </c>
      <c r="C39" s="251" t="str">
        <f t="shared" ca="1" si="0"/>
        <v>Tiền</v>
      </c>
      <c r="D39" s="251" t="str">
        <f ca="1">IF(ROWS($1:26)&gt;COUNT(Dong),"",OFFSET(TH!D$1,SMALL(Dong,ROWS($1:26)),))</f>
        <v>N26</v>
      </c>
      <c r="E39" s="252" t="str">
        <f t="shared" ca="1" si="1"/>
        <v>Vũng Tàu</v>
      </c>
      <c r="F39" s="252">
        <f t="shared" ca="1" si="2"/>
        <v>270106056</v>
      </c>
      <c r="G39" s="253" t="str">
        <f ca="1">IF(ROWS($1:26)&gt;COUNT(Dong),"",OFFSET(TH!F$1,SMALL(Dong,ROWS($1:26)),))</f>
        <v>Cá bò NL</v>
      </c>
      <c r="H39" s="254">
        <f ca="1">IF(ROWS($1:26)&gt;COUNT(Dong),"",OFFSET(TH!K$1,SMALL(Dong,ROWS($1:26)),))</f>
        <v>7960</v>
      </c>
      <c r="I39" s="254">
        <f ca="1">IF(ROWS($1:26)&gt;COUNT(Dong),"",OFFSET(TH!J$1,SMALL(Dong,ROWS($1:26)),))</f>
        <v>11000</v>
      </c>
      <c r="J39" s="258">
        <f t="shared" ca="1" si="3"/>
        <v>87560000</v>
      </c>
      <c r="K39" s="255"/>
      <c r="L39" s="256"/>
      <c r="M39" s="236"/>
      <c r="N39" s="236"/>
      <c r="O39" s="236"/>
      <c r="P39" s="236"/>
      <c r="Q39" s="236"/>
      <c r="R39" s="236"/>
      <c r="S39" s="236"/>
      <c r="T39" s="236"/>
      <c r="U39" s="236"/>
      <c r="V39" s="236"/>
      <c r="W39" s="236"/>
      <c r="X39" s="236"/>
      <c r="Y39" s="236"/>
      <c r="Z39" s="236"/>
      <c r="AA39" s="236"/>
      <c r="AB39" s="236"/>
      <c r="AC39" s="236"/>
      <c r="AD39" s="236"/>
      <c r="AE39" s="236"/>
      <c r="AF39" s="236"/>
      <c r="AG39" s="236"/>
      <c r="AH39" s="236"/>
      <c r="AI39" s="236"/>
      <c r="AJ39" s="236"/>
      <c r="AK39" s="236"/>
      <c r="AL39" s="236"/>
      <c r="AM39" s="236"/>
      <c r="AN39" s="236"/>
      <c r="AO39" s="236"/>
      <c r="AP39" s="236"/>
      <c r="AQ39" s="236"/>
      <c r="AR39" s="236"/>
      <c r="AS39" s="236"/>
      <c r="AT39" s="236"/>
      <c r="AU39" s="236"/>
      <c r="AV39" s="236"/>
      <c r="AW39" s="236"/>
      <c r="AX39" s="236"/>
      <c r="AY39" s="236"/>
      <c r="AZ39" s="236"/>
      <c r="BA39" s="236"/>
      <c r="BB39" s="236"/>
      <c r="BC39" s="236"/>
      <c r="BD39" s="236"/>
      <c r="BE39" s="236"/>
      <c r="BF39" s="236"/>
      <c r="BG39" s="236"/>
      <c r="BH39" s="236"/>
      <c r="BI39" s="236"/>
      <c r="BJ39" s="236"/>
      <c r="BK39" s="236"/>
      <c r="BL39" s="236"/>
      <c r="BM39" s="236"/>
      <c r="BN39" s="236"/>
      <c r="BO39" s="236"/>
      <c r="BP39" s="236"/>
      <c r="BQ39" s="236"/>
      <c r="BR39" s="236"/>
      <c r="BS39" s="236"/>
      <c r="BT39" s="236"/>
      <c r="BU39" s="236"/>
      <c r="BV39" s="236"/>
      <c r="BW39" s="236"/>
      <c r="BX39" s="236"/>
      <c r="BY39" s="236"/>
      <c r="BZ39" s="236"/>
      <c r="CA39" s="236"/>
      <c r="CB39" s="236"/>
      <c r="CC39" s="236"/>
      <c r="CD39" s="236"/>
      <c r="CE39" s="236"/>
      <c r="CF39" s="236"/>
      <c r="CG39" s="236"/>
    </row>
    <row r="40" spans="1:85" s="257" customFormat="1" ht="21.75" customHeight="1">
      <c r="A40" s="70">
        <f ca="1">IF(ROWS($1:27)&gt;COUNT(Dong),"",OFFSET(TH!E$1,SMALL(Dong,ROWS($1:27)),))</f>
        <v>42360</v>
      </c>
      <c r="B40" s="273" t="str">
        <f ca="1">IF(ROWS($1:27)&gt;COUNT(Dong),"",OFFSET(TH!G$1,SMALL(Dong,ROWS($1:27)),))</f>
        <v>Võ Văn Bá</v>
      </c>
      <c r="C40" s="251" t="str">
        <f t="shared" ca="1" si="0"/>
        <v>Tiền</v>
      </c>
      <c r="D40" s="251" t="str">
        <f ca="1">IF(ROWS($1:27)&gt;COUNT(Dong),"",OFFSET(TH!D$1,SMALL(Dong,ROWS($1:27)),))</f>
        <v>N27</v>
      </c>
      <c r="E40" s="252" t="str">
        <f t="shared" ca="1" si="1"/>
        <v>Vũng Tàu</v>
      </c>
      <c r="F40" s="252">
        <f t="shared" ca="1" si="2"/>
        <v>270176684</v>
      </c>
      <c r="G40" s="253" t="str">
        <f ca="1">IF(ROWS($1:27)&gt;COUNT(Dong),"",OFFSET(TH!F$1,SMALL(Dong,ROWS($1:27)),))</f>
        <v>Cá bò NL</v>
      </c>
      <c r="H40" s="254">
        <f ca="1">IF(ROWS($1:27)&gt;COUNT(Dong),"",OFFSET(TH!K$1,SMALL(Dong,ROWS($1:27)),))</f>
        <v>7231</v>
      </c>
      <c r="I40" s="254">
        <f ca="1">IF(ROWS($1:27)&gt;COUNT(Dong),"",OFFSET(TH!J$1,SMALL(Dong,ROWS($1:27)),))</f>
        <v>11000</v>
      </c>
      <c r="J40" s="258">
        <f t="shared" ca="1" si="3"/>
        <v>79541000</v>
      </c>
      <c r="K40" s="255"/>
      <c r="L40" s="256"/>
      <c r="M40" s="236"/>
      <c r="N40" s="236"/>
      <c r="O40" s="236"/>
      <c r="P40" s="236"/>
      <c r="Q40" s="236"/>
      <c r="R40" s="236"/>
      <c r="S40" s="236"/>
      <c r="T40" s="236"/>
      <c r="U40" s="236"/>
      <c r="V40" s="236"/>
      <c r="W40" s="236"/>
      <c r="X40" s="236"/>
      <c r="Y40" s="236"/>
      <c r="Z40" s="236"/>
      <c r="AA40" s="236"/>
      <c r="AB40" s="236"/>
      <c r="AC40" s="236"/>
      <c r="AD40" s="236"/>
      <c r="AE40" s="236"/>
      <c r="AF40" s="236"/>
      <c r="AG40" s="236"/>
      <c r="AH40" s="236"/>
      <c r="AI40" s="236"/>
      <c r="AJ40" s="236"/>
      <c r="AK40" s="236"/>
      <c r="AL40" s="236"/>
      <c r="AM40" s="236"/>
      <c r="AN40" s="236"/>
      <c r="AO40" s="236"/>
      <c r="AP40" s="236"/>
      <c r="AQ40" s="236"/>
      <c r="AR40" s="236"/>
      <c r="AS40" s="236"/>
      <c r="AT40" s="236"/>
      <c r="AU40" s="236"/>
      <c r="AV40" s="236"/>
      <c r="AW40" s="236"/>
      <c r="AX40" s="236"/>
      <c r="AY40" s="236"/>
      <c r="AZ40" s="236"/>
      <c r="BA40" s="236"/>
      <c r="BB40" s="236"/>
      <c r="BC40" s="236"/>
      <c r="BD40" s="236"/>
      <c r="BE40" s="236"/>
      <c r="BF40" s="236"/>
      <c r="BG40" s="236"/>
      <c r="BH40" s="236"/>
      <c r="BI40" s="236"/>
      <c r="BJ40" s="236"/>
      <c r="BK40" s="236"/>
      <c r="BL40" s="236"/>
      <c r="BM40" s="236"/>
      <c r="BN40" s="236"/>
      <c r="BO40" s="236"/>
      <c r="BP40" s="236"/>
      <c r="BQ40" s="236"/>
      <c r="BR40" s="236"/>
      <c r="BS40" s="236"/>
      <c r="BT40" s="236"/>
      <c r="BU40" s="236"/>
      <c r="BV40" s="236"/>
      <c r="BW40" s="236"/>
      <c r="BX40" s="236"/>
      <c r="BY40" s="236"/>
      <c r="BZ40" s="236"/>
      <c r="CA40" s="236"/>
      <c r="CB40" s="236"/>
      <c r="CC40" s="236"/>
      <c r="CD40" s="236"/>
      <c r="CE40" s="236"/>
      <c r="CF40" s="236"/>
      <c r="CG40" s="236"/>
    </row>
    <row r="41" spans="1:85" s="257" customFormat="1" ht="21.75" customHeight="1">
      <c r="A41" s="70">
        <f ca="1">IF(ROWS($1:28)&gt;COUNT(Dong),"",OFFSET(TH!E$1,SMALL(Dong,ROWS($1:28)),))</f>
        <v>42363</v>
      </c>
      <c r="B41" s="273" t="str">
        <f ca="1">IF(ROWS($1:28)&gt;COUNT(Dong),"",OFFSET(TH!G$1,SMALL(Dong,ROWS($1:28)),))</f>
        <v>Võ Thị Bảy</v>
      </c>
      <c r="C41" s="251" t="str">
        <f t="shared" ca="1" si="0"/>
        <v>Tiền</v>
      </c>
      <c r="D41" s="251" t="str">
        <f ca="1">IF(ROWS($1:28)&gt;COUNT(Dong),"",OFFSET(TH!D$1,SMALL(Dong,ROWS($1:28)),))</f>
        <v>N28</v>
      </c>
      <c r="E41" s="252" t="str">
        <f t="shared" ca="1" si="1"/>
        <v>Vũng Tàu</v>
      </c>
      <c r="F41" s="252">
        <f t="shared" ca="1" si="2"/>
        <v>270106056</v>
      </c>
      <c r="G41" s="253" t="str">
        <f ca="1">IF(ROWS($1:28)&gt;COUNT(Dong),"",OFFSET(TH!F$1,SMALL(Dong,ROWS($1:28)),))</f>
        <v>Cá bò NL</v>
      </c>
      <c r="H41" s="254">
        <f ca="1">IF(ROWS($1:28)&gt;COUNT(Dong),"",OFFSET(TH!K$1,SMALL(Dong,ROWS($1:28)),))</f>
        <v>7156</v>
      </c>
      <c r="I41" s="254">
        <f ca="1">IF(ROWS($1:28)&gt;COUNT(Dong),"",OFFSET(TH!J$1,SMALL(Dong,ROWS($1:28)),))</f>
        <v>14500</v>
      </c>
      <c r="J41" s="258">
        <f t="shared" ca="1" si="3"/>
        <v>103762000</v>
      </c>
      <c r="K41" s="255"/>
      <c r="L41" s="256"/>
      <c r="M41" s="236"/>
      <c r="N41" s="236"/>
      <c r="O41" s="236"/>
      <c r="P41" s="236"/>
      <c r="Q41" s="236"/>
      <c r="R41" s="236"/>
      <c r="S41" s="236"/>
      <c r="T41" s="236"/>
      <c r="U41" s="236"/>
      <c r="V41" s="236"/>
      <c r="W41" s="236"/>
      <c r="X41" s="236"/>
      <c r="Y41" s="236"/>
      <c r="Z41" s="236"/>
      <c r="AA41" s="236"/>
      <c r="AB41" s="236"/>
      <c r="AC41" s="236"/>
      <c r="AD41" s="236"/>
      <c r="AE41" s="236"/>
      <c r="AF41" s="236"/>
      <c r="AG41" s="236"/>
      <c r="AH41" s="236"/>
      <c r="AI41" s="236"/>
      <c r="AJ41" s="236"/>
      <c r="AK41" s="236"/>
      <c r="AL41" s="236"/>
      <c r="AM41" s="236"/>
      <c r="AN41" s="236"/>
      <c r="AO41" s="236"/>
      <c r="AP41" s="236"/>
      <c r="AQ41" s="236"/>
      <c r="AR41" s="236"/>
      <c r="AS41" s="236"/>
      <c r="AT41" s="236"/>
      <c r="AU41" s="236"/>
      <c r="AV41" s="236"/>
      <c r="AW41" s="236"/>
      <c r="AX41" s="236"/>
      <c r="AY41" s="236"/>
      <c r="AZ41" s="236"/>
      <c r="BA41" s="236"/>
      <c r="BB41" s="236"/>
      <c r="BC41" s="236"/>
      <c r="BD41" s="236"/>
      <c r="BE41" s="236"/>
      <c r="BF41" s="236"/>
      <c r="BG41" s="236"/>
      <c r="BH41" s="236"/>
      <c r="BI41" s="236"/>
      <c r="BJ41" s="236"/>
      <c r="BK41" s="236"/>
      <c r="BL41" s="236"/>
      <c r="BM41" s="236"/>
      <c r="BN41" s="236"/>
      <c r="BO41" s="236"/>
      <c r="BP41" s="236"/>
      <c r="BQ41" s="236"/>
      <c r="BR41" s="236"/>
      <c r="BS41" s="236"/>
      <c r="BT41" s="236"/>
      <c r="BU41" s="236"/>
      <c r="BV41" s="236"/>
      <c r="BW41" s="236"/>
      <c r="BX41" s="236"/>
      <c r="BY41" s="236"/>
      <c r="BZ41" s="236"/>
      <c r="CA41" s="236"/>
      <c r="CB41" s="236"/>
      <c r="CC41" s="236"/>
      <c r="CD41" s="236"/>
      <c r="CE41" s="236"/>
      <c r="CF41" s="236"/>
      <c r="CG41" s="236"/>
    </row>
    <row r="42" spans="1:85" s="257" customFormat="1" ht="21.75" customHeight="1">
      <c r="A42" s="70">
        <f ca="1">IF(ROWS($1:29)&gt;COUNT(Dong),"",OFFSET(TH!E$1,SMALL(Dong,ROWS($1:29)),))</f>
        <v>42363</v>
      </c>
      <c r="B42" s="273" t="str">
        <f ca="1">IF(ROWS($1:29)&gt;COUNT(Dong),"",OFFSET(TH!G$1,SMALL(Dong,ROWS($1:29)),))</f>
        <v>Võ Văn Bá</v>
      </c>
      <c r="C42" s="251" t="str">
        <f t="shared" ca="1" si="0"/>
        <v>Tiền</v>
      </c>
      <c r="D42" s="251" t="str">
        <f ca="1">IF(ROWS($1:29)&gt;COUNT(Dong),"",OFFSET(TH!D$1,SMALL(Dong,ROWS($1:29)),))</f>
        <v>N29</v>
      </c>
      <c r="E42" s="252" t="str">
        <f t="shared" ca="1" si="1"/>
        <v>Vũng Tàu</v>
      </c>
      <c r="F42" s="252">
        <f t="shared" ca="1" si="2"/>
        <v>270176684</v>
      </c>
      <c r="G42" s="253" t="str">
        <f ca="1">IF(ROWS($1:29)&gt;COUNT(Dong),"",OFFSET(TH!F$1,SMALL(Dong,ROWS($1:29)),))</f>
        <v>Cá bò NL</v>
      </c>
      <c r="H42" s="254">
        <f ca="1">IF(ROWS($1:29)&gt;COUNT(Dong),"",OFFSET(TH!K$1,SMALL(Dong,ROWS($1:29)),))</f>
        <v>7015</v>
      </c>
      <c r="I42" s="254">
        <f ca="1">IF(ROWS($1:29)&gt;COUNT(Dong),"",OFFSET(TH!J$1,SMALL(Dong,ROWS($1:29)),))</f>
        <v>14500</v>
      </c>
      <c r="J42" s="258">
        <f t="shared" ca="1" si="3"/>
        <v>101717500</v>
      </c>
      <c r="K42" s="255"/>
      <c r="L42" s="256"/>
      <c r="M42" s="236"/>
      <c r="N42" s="236"/>
      <c r="O42" s="236"/>
      <c r="P42" s="236"/>
      <c r="Q42" s="236"/>
      <c r="R42" s="236"/>
      <c r="S42" s="236"/>
      <c r="T42" s="236"/>
      <c r="U42" s="236"/>
      <c r="V42" s="236"/>
      <c r="W42" s="236"/>
      <c r="X42" s="236"/>
      <c r="Y42" s="236"/>
      <c r="Z42" s="236"/>
      <c r="AA42" s="236"/>
      <c r="AB42" s="236"/>
      <c r="AC42" s="236"/>
      <c r="AD42" s="236"/>
      <c r="AE42" s="236"/>
      <c r="AF42" s="236"/>
      <c r="AG42" s="236"/>
      <c r="AH42" s="236"/>
      <c r="AI42" s="236"/>
      <c r="AJ42" s="236"/>
      <c r="AK42" s="236"/>
      <c r="AL42" s="236"/>
      <c r="AM42" s="236"/>
      <c r="AN42" s="236"/>
      <c r="AO42" s="236"/>
      <c r="AP42" s="236"/>
      <c r="AQ42" s="236"/>
      <c r="AR42" s="236"/>
      <c r="AS42" s="236"/>
      <c r="AT42" s="236"/>
      <c r="AU42" s="236"/>
      <c r="AV42" s="236"/>
      <c r="AW42" s="236"/>
      <c r="AX42" s="236"/>
      <c r="AY42" s="236"/>
      <c r="AZ42" s="236"/>
      <c r="BA42" s="236"/>
      <c r="BB42" s="236"/>
      <c r="BC42" s="236"/>
      <c r="BD42" s="236"/>
      <c r="BE42" s="236"/>
      <c r="BF42" s="236"/>
      <c r="BG42" s="236"/>
      <c r="BH42" s="236"/>
      <c r="BI42" s="236"/>
      <c r="BJ42" s="236"/>
      <c r="BK42" s="236"/>
      <c r="BL42" s="236"/>
      <c r="BM42" s="236"/>
      <c r="BN42" s="236"/>
      <c r="BO42" s="236"/>
      <c r="BP42" s="236"/>
      <c r="BQ42" s="236"/>
      <c r="BR42" s="236"/>
      <c r="BS42" s="236"/>
      <c r="BT42" s="236"/>
      <c r="BU42" s="236"/>
      <c r="BV42" s="236"/>
      <c r="BW42" s="236"/>
      <c r="BX42" s="236"/>
      <c r="BY42" s="236"/>
      <c r="BZ42" s="236"/>
      <c r="CA42" s="236"/>
      <c r="CB42" s="236"/>
      <c r="CC42" s="236"/>
      <c r="CD42" s="236"/>
      <c r="CE42" s="236"/>
      <c r="CF42" s="236"/>
      <c r="CG42" s="236"/>
    </row>
    <row r="43" spans="1:85" s="257" customFormat="1" ht="21.75" customHeight="1">
      <c r="A43" s="70">
        <f ca="1">IF(ROWS($1:30)&gt;COUNT(Dong),"",OFFSET(TH!E$1,SMALL(Dong,ROWS($1:30)),))</f>
        <v>42363</v>
      </c>
      <c r="B43" s="273" t="str">
        <f ca="1">IF(ROWS($1:30)&gt;COUNT(Dong),"",OFFSET(TH!G$1,SMALL(Dong,ROWS($1:30)),))</f>
        <v>Nguyễn Thanh Vân</v>
      </c>
      <c r="C43" s="251" t="str">
        <f t="shared" ca="1" si="0"/>
        <v>Tiền</v>
      </c>
      <c r="D43" s="251" t="str">
        <f ca="1">IF(ROWS($1:30)&gt;COUNT(Dong),"",OFFSET(TH!D$1,SMALL(Dong,ROWS($1:30)),))</f>
        <v>N30</v>
      </c>
      <c r="E43" s="252" t="str">
        <f t="shared" ca="1" si="1"/>
        <v>Vũng Tàu</v>
      </c>
      <c r="F43" s="252">
        <f t="shared" ca="1" si="2"/>
        <v>270176960</v>
      </c>
      <c r="G43" s="253" t="str">
        <f ca="1">IF(ROWS($1:30)&gt;COUNT(Dong),"",OFFSET(TH!F$1,SMALL(Dong,ROWS($1:30)),))</f>
        <v>Cá bò NL</v>
      </c>
      <c r="H43" s="254">
        <f ca="1">IF(ROWS($1:30)&gt;COUNT(Dong),"",OFFSET(TH!K$1,SMALL(Dong,ROWS($1:30)),))</f>
        <v>6930</v>
      </c>
      <c r="I43" s="254">
        <f ca="1">IF(ROWS($1:30)&gt;COUNT(Dong),"",OFFSET(TH!J$1,SMALL(Dong,ROWS($1:30)),))</f>
        <v>14500</v>
      </c>
      <c r="J43" s="258">
        <f t="shared" ca="1" si="3"/>
        <v>100485000</v>
      </c>
      <c r="K43" s="255"/>
      <c r="L43" s="256"/>
      <c r="M43" s="236"/>
      <c r="N43" s="236"/>
      <c r="O43" s="236"/>
      <c r="P43" s="236"/>
      <c r="Q43" s="236"/>
      <c r="R43" s="236"/>
      <c r="S43" s="236"/>
      <c r="T43" s="236"/>
      <c r="U43" s="236"/>
      <c r="V43" s="236"/>
      <c r="W43" s="236"/>
      <c r="X43" s="236"/>
      <c r="Y43" s="236"/>
      <c r="Z43" s="236"/>
      <c r="AA43" s="236"/>
      <c r="AB43" s="236"/>
      <c r="AC43" s="236"/>
      <c r="AD43" s="236"/>
      <c r="AE43" s="236"/>
      <c r="AF43" s="236"/>
      <c r="AG43" s="236"/>
      <c r="AH43" s="236"/>
      <c r="AI43" s="236"/>
      <c r="AJ43" s="236"/>
      <c r="AK43" s="236"/>
      <c r="AL43" s="236"/>
      <c r="AM43" s="236"/>
      <c r="AN43" s="236"/>
      <c r="AO43" s="236"/>
      <c r="AP43" s="236"/>
      <c r="AQ43" s="236"/>
      <c r="AR43" s="236"/>
      <c r="AS43" s="236"/>
      <c r="AT43" s="236"/>
      <c r="AU43" s="236"/>
      <c r="AV43" s="236"/>
      <c r="AW43" s="236"/>
      <c r="AX43" s="236"/>
      <c r="AY43" s="236"/>
      <c r="AZ43" s="236"/>
      <c r="BA43" s="236"/>
      <c r="BB43" s="236"/>
      <c r="BC43" s="236"/>
      <c r="BD43" s="236"/>
      <c r="BE43" s="236"/>
      <c r="BF43" s="236"/>
      <c r="BG43" s="236"/>
      <c r="BH43" s="236"/>
      <c r="BI43" s="236"/>
      <c r="BJ43" s="236"/>
      <c r="BK43" s="236"/>
      <c r="BL43" s="236"/>
      <c r="BM43" s="236"/>
      <c r="BN43" s="236"/>
      <c r="BO43" s="236"/>
      <c r="BP43" s="236"/>
      <c r="BQ43" s="236"/>
      <c r="BR43" s="236"/>
      <c r="BS43" s="236"/>
      <c r="BT43" s="236"/>
      <c r="BU43" s="236"/>
      <c r="BV43" s="236"/>
      <c r="BW43" s="236"/>
      <c r="BX43" s="236"/>
      <c r="BY43" s="236"/>
      <c r="BZ43" s="236"/>
      <c r="CA43" s="236"/>
      <c r="CB43" s="236"/>
      <c r="CC43" s="236"/>
      <c r="CD43" s="236"/>
      <c r="CE43" s="236"/>
      <c r="CF43" s="236"/>
      <c r="CG43" s="236"/>
    </row>
    <row r="44" spans="1:85" s="257" customFormat="1" ht="21.75" customHeight="1">
      <c r="A44" s="70">
        <f ca="1">IF(ROWS($1:31)&gt;COUNT(Dong),"",OFFSET(TH!E$1,SMALL(Dong,ROWS($1:31)),))</f>
        <v>42363</v>
      </c>
      <c r="B44" s="273" t="str">
        <f ca="1">IF(ROWS($1:31)&gt;COUNT(Dong),"",OFFSET(TH!G$1,SMALL(Dong,ROWS($1:31)),))</f>
        <v>Nguyễn Thanh Vinh</v>
      </c>
      <c r="C44" s="251" t="str">
        <f t="shared" ca="1" si="0"/>
        <v>Tiền</v>
      </c>
      <c r="D44" s="251" t="str">
        <f ca="1">IF(ROWS($1:31)&gt;COUNT(Dong),"",OFFSET(TH!D$1,SMALL(Dong,ROWS($1:31)),))</f>
        <v>N31</v>
      </c>
      <c r="E44" s="252" t="str">
        <f t="shared" ca="1" si="1"/>
        <v>Vũng Tàu</v>
      </c>
      <c r="F44" s="252">
        <f t="shared" ca="1" si="2"/>
        <v>271181056</v>
      </c>
      <c r="G44" s="253" t="str">
        <f ca="1">IF(ROWS($1:31)&gt;COUNT(Dong),"",OFFSET(TH!F$1,SMALL(Dong,ROWS($1:31)),))</f>
        <v>Cá bò NL</v>
      </c>
      <c r="H44" s="254">
        <f ca="1">IF(ROWS($1:31)&gt;COUNT(Dong),"",OFFSET(TH!K$1,SMALL(Dong,ROWS($1:31)),))</f>
        <v>7248</v>
      </c>
      <c r="I44" s="254">
        <f ca="1">IF(ROWS($1:31)&gt;COUNT(Dong),"",OFFSET(TH!J$1,SMALL(Dong,ROWS($1:31)),))</f>
        <v>14500</v>
      </c>
      <c r="J44" s="258">
        <f t="shared" ca="1" si="3"/>
        <v>105096000</v>
      </c>
      <c r="K44" s="255"/>
      <c r="L44" s="25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236"/>
      <c r="AZ44" s="236"/>
      <c r="BA44" s="236"/>
      <c r="BB44" s="236"/>
      <c r="BC44" s="236"/>
      <c r="BD44" s="236"/>
      <c r="BE44" s="236"/>
      <c r="BF44" s="236"/>
      <c r="BG44" s="236"/>
      <c r="BH44" s="236"/>
      <c r="BI44" s="236"/>
      <c r="BJ44" s="236"/>
      <c r="BK44" s="236"/>
      <c r="BL44" s="236"/>
      <c r="BM44" s="236"/>
      <c r="BN44" s="236"/>
      <c r="BO44" s="236"/>
      <c r="BP44" s="236"/>
      <c r="BQ44" s="236"/>
      <c r="BR44" s="236"/>
      <c r="BS44" s="236"/>
      <c r="BT44" s="236"/>
      <c r="BU44" s="236"/>
      <c r="BV44" s="236"/>
      <c r="BW44" s="236"/>
      <c r="BX44" s="236"/>
      <c r="BY44" s="236"/>
      <c r="BZ44" s="236"/>
      <c r="CA44" s="236"/>
      <c r="CB44" s="236"/>
      <c r="CC44" s="236"/>
      <c r="CD44" s="236"/>
      <c r="CE44" s="236"/>
      <c r="CF44" s="236"/>
      <c r="CG44" s="236"/>
    </row>
    <row r="45" spans="1:85" s="257" customFormat="1" ht="21.75" customHeight="1">
      <c r="A45" s="70">
        <f ca="1">IF(ROWS($1:32)&gt;COUNT(Dong),"",OFFSET(TH!E$1,SMALL(Dong,ROWS($1:32)),))</f>
        <v>42363</v>
      </c>
      <c r="B45" s="273" t="str">
        <f ca="1">IF(ROWS($1:32)&gt;COUNT(Dong),"",OFFSET(TH!G$1,SMALL(Dong,ROWS($1:32)),))</f>
        <v>Hồ Thị Mỹ</v>
      </c>
      <c r="C45" s="251" t="str">
        <f t="shared" ca="1" si="0"/>
        <v>Tiền</v>
      </c>
      <c r="D45" s="251" t="str">
        <f ca="1">IF(ROWS($1:32)&gt;COUNT(Dong),"",OFFSET(TH!D$1,SMALL(Dong,ROWS($1:32)),))</f>
        <v>N32</v>
      </c>
      <c r="E45" s="252" t="str">
        <f t="shared" ca="1" si="1"/>
        <v>Vũng Tàu</v>
      </c>
      <c r="F45" s="252">
        <f t="shared" ca="1" si="2"/>
        <v>270986506</v>
      </c>
      <c r="G45" s="253" t="str">
        <f ca="1">IF(ROWS($1:32)&gt;COUNT(Dong),"",OFFSET(TH!F$1,SMALL(Dong,ROWS($1:32)),))</f>
        <v>Cá bò NL</v>
      </c>
      <c r="H45" s="254">
        <f ca="1">IF(ROWS($1:32)&gt;COUNT(Dong),"",OFFSET(TH!K$1,SMALL(Dong,ROWS($1:32)),))</f>
        <v>7140</v>
      </c>
      <c r="I45" s="254">
        <f ca="1">IF(ROWS($1:32)&gt;COUNT(Dong),"",OFFSET(TH!J$1,SMALL(Dong,ROWS($1:32)),))</f>
        <v>14500</v>
      </c>
      <c r="J45" s="258">
        <f t="shared" ca="1" si="3"/>
        <v>103530000</v>
      </c>
      <c r="K45" s="255"/>
      <c r="L45" s="256"/>
      <c r="M45" s="236"/>
      <c r="N45" s="236"/>
      <c r="O45" s="236"/>
      <c r="P45" s="236"/>
      <c r="Q45" s="236"/>
      <c r="R45" s="236"/>
      <c r="S45" s="236"/>
      <c r="T45" s="236"/>
      <c r="U45" s="236"/>
      <c r="V45" s="236"/>
      <c r="W45" s="236"/>
      <c r="X45" s="236"/>
      <c r="Y45" s="236"/>
      <c r="Z45" s="236"/>
      <c r="AA45" s="236"/>
      <c r="AB45" s="236"/>
      <c r="AC45" s="236"/>
      <c r="AD45" s="236"/>
      <c r="AE45" s="236"/>
      <c r="AF45" s="236"/>
      <c r="AG45" s="236"/>
      <c r="AH45" s="236"/>
      <c r="AI45" s="236"/>
      <c r="AJ45" s="236"/>
      <c r="AK45" s="236"/>
      <c r="AL45" s="236"/>
      <c r="AM45" s="236"/>
      <c r="AN45" s="236"/>
      <c r="AO45" s="236"/>
      <c r="AP45" s="236"/>
      <c r="AQ45" s="236"/>
      <c r="AR45" s="236"/>
      <c r="AS45" s="236"/>
      <c r="AT45" s="236"/>
      <c r="AU45" s="236"/>
      <c r="AV45" s="236"/>
      <c r="AW45" s="236"/>
      <c r="AX45" s="236"/>
      <c r="AY45" s="236"/>
      <c r="AZ45" s="236"/>
      <c r="BA45" s="236"/>
      <c r="BB45" s="236"/>
      <c r="BC45" s="236"/>
      <c r="BD45" s="236"/>
      <c r="BE45" s="236"/>
      <c r="BF45" s="236"/>
      <c r="BG45" s="236"/>
      <c r="BH45" s="236"/>
      <c r="BI45" s="236"/>
      <c r="BJ45" s="236"/>
      <c r="BK45" s="236"/>
      <c r="BL45" s="236"/>
      <c r="BM45" s="236"/>
      <c r="BN45" s="236"/>
      <c r="BO45" s="236"/>
      <c r="BP45" s="236"/>
      <c r="BQ45" s="236"/>
      <c r="BR45" s="236"/>
      <c r="BS45" s="236"/>
      <c r="BT45" s="236"/>
      <c r="BU45" s="236"/>
      <c r="BV45" s="236"/>
      <c r="BW45" s="236"/>
      <c r="BX45" s="236"/>
      <c r="BY45" s="236"/>
      <c r="BZ45" s="236"/>
      <c r="CA45" s="236"/>
      <c r="CB45" s="236"/>
      <c r="CC45" s="236"/>
      <c r="CD45" s="236"/>
      <c r="CE45" s="236"/>
      <c r="CF45" s="236"/>
      <c r="CG45" s="236"/>
    </row>
    <row r="46" spans="1:85" s="257" customFormat="1" ht="21.75" customHeight="1">
      <c r="A46" s="70">
        <f ca="1">IF(ROWS($1:33)&gt;COUNT(Dong),"",OFFSET(TH!E$1,SMALL(Dong,ROWS($1:33)),))</f>
        <v>42365</v>
      </c>
      <c r="B46" s="273" t="str">
        <f ca="1">IF(ROWS($1:33)&gt;COUNT(Dong),"",OFFSET(TH!G$1,SMALL(Dong,ROWS($1:33)),))</f>
        <v>Phạm Thị Ngọc</v>
      </c>
      <c r="C46" s="251" t="str">
        <f t="shared" ca="1" si="0"/>
        <v>Tiền</v>
      </c>
      <c r="D46" s="251" t="str">
        <f ca="1">IF(ROWS($1:33)&gt;COUNT(Dong),"",OFFSET(TH!D$1,SMALL(Dong,ROWS($1:33)),))</f>
        <v>N36</v>
      </c>
      <c r="E46" s="252" t="str">
        <f t="shared" ca="1" si="1"/>
        <v>Nha Trang - Khánh Hoà</v>
      </c>
      <c r="F46" s="252">
        <f t="shared" ca="1" si="2"/>
        <v>220557300</v>
      </c>
      <c r="G46" s="253" t="str">
        <f ca="1">IF(ROWS($1:33)&gt;COUNT(Dong),"",OFFSET(TH!F$1,SMALL(Dong,ROWS($1:33)),))</f>
        <v>Cá bò NL</v>
      </c>
      <c r="H46" s="254">
        <f ca="1">IF(ROWS($1:33)&gt;COUNT(Dong),"",OFFSET(TH!K$1,SMALL(Dong,ROWS($1:33)),))</f>
        <v>7080</v>
      </c>
      <c r="I46" s="254">
        <f ca="1">IF(ROWS($1:33)&gt;COUNT(Dong),"",OFFSET(TH!J$1,SMALL(Dong,ROWS($1:33)),))</f>
        <v>14500</v>
      </c>
      <c r="J46" s="258">
        <f t="shared" ca="1" si="3"/>
        <v>102660000</v>
      </c>
      <c r="K46" s="255"/>
      <c r="L46" s="256"/>
      <c r="M46" s="236"/>
      <c r="N46" s="236"/>
      <c r="O46" s="236"/>
      <c r="P46" s="236"/>
      <c r="Q46" s="236"/>
      <c r="R46" s="236"/>
      <c r="S46" s="236"/>
      <c r="T46" s="236"/>
      <c r="U46" s="236"/>
      <c r="V46" s="236"/>
      <c r="W46" s="236"/>
      <c r="X46" s="236"/>
      <c r="Y46" s="236"/>
      <c r="Z46" s="236"/>
      <c r="AA46" s="236"/>
      <c r="AB46" s="236"/>
      <c r="AC46" s="236"/>
      <c r="AD46" s="236"/>
      <c r="AE46" s="236"/>
      <c r="AF46" s="236"/>
      <c r="AG46" s="236"/>
      <c r="AH46" s="236"/>
      <c r="AI46" s="236"/>
      <c r="AJ46" s="236"/>
      <c r="AK46" s="236"/>
      <c r="AL46" s="236"/>
      <c r="AM46" s="236"/>
      <c r="AN46" s="236"/>
      <c r="AO46" s="236"/>
      <c r="AP46" s="236"/>
      <c r="AQ46" s="236"/>
      <c r="AR46" s="236"/>
      <c r="AS46" s="236"/>
      <c r="AT46" s="236"/>
      <c r="AU46" s="236"/>
      <c r="AV46" s="236"/>
      <c r="AW46" s="236"/>
      <c r="AX46" s="236"/>
      <c r="AY46" s="236"/>
      <c r="AZ46" s="236"/>
      <c r="BA46" s="236"/>
      <c r="BB46" s="236"/>
      <c r="BC46" s="236"/>
      <c r="BD46" s="236"/>
      <c r="BE46" s="236"/>
      <c r="BF46" s="236"/>
      <c r="BG46" s="236"/>
      <c r="BH46" s="236"/>
      <c r="BI46" s="236"/>
      <c r="BJ46" s="236"/>
      <c r="BK46" s="236"/>
      <c r="BL46" s="236"/>
      <c r="BM46" s="236"/>
      <c r="BN46" s="236"/>
      <c r="BO46" s="236"/>
      <c r="BP46" s="236"/>
      <c r="BQ46" s="236"/>
      <c r="BR46" s="236"/>
      <c r="BS46" s="236"/>
      <c r="BT46" s="236"/>
      <c r="BU46" s="236"/>
      <c r="BV46" s="236"/>
      <c r="BW46" s="236"/>
      <c r="BX46" s="236"/>
      <c r="BY46" s="236"/>
      <c r="BZ46" s="236"/>
      <c r="CA46" s="236"/>
      <c r="CB46" s="236"/>
      <c r="CC46" s="236"/>
      <c r="CD46" s="236"/>
      <c r="CE46" s="236"/>
      <c r="CF46" s="236"/>
      <c r="CG46" s="236"/>
    </row>
    <row r="47" spans="1:85" s="257" customFormat="1" ht="21.75" customHeight="1">
      <c r="A47" s="70">
        <f ca="1">IF(ROWS($1:34)&gt;COUNT(Dong),"",OFFSET(TH!E$1,SMALL(Dong,ROWS($1:34)),))</f>
        <v>42365</v>
      </c>
      <c r="B47" s="273" t="str">
        <f ca="1">IF(ROWS($1:34)&gt;COUNT(Dong),"",OFFSET(TH!G$1,SMALL(Dong,ROWS($1:34)),))</f>
        <v>Nguyễn Đức Tiến</v>
      </c>
      <c r="C47" s="251" t="str">
        <f t="shared" ca="1" si="0"/>
        <v>Tiền</v>
      </c>
      <c r="D47" s="251" t="str">
        <f ca="1">IF(ROWS($1:34)&gt;COUNT(Dong),"",OFFSET(TH!D$1,SMALL(Dong,ROWS($1:34)),))</f>
        <v>N37</v>
      </c>
      <c r="E47" s="252" t="str">
        <f t="shared" ca="1" si="1"/>
        <v>Vũng Tàu</v>
      </c>
      <c r="F47" s="252">
        <f t="shared" ca="1" si="2"/>
        <v>273249576</v>
      </c>
      <c r="G47" s="253" t="str">
        <f ca="1">IF(ROWS($1:34)&gt;COUNT(Dong),"",OFFSET(TH!F$1,SMALL(Dong,ROWS($1:34)),))</f>
        <v>Cá bò NL</v>
      </c>
      <c r="H47" s="254">
        <f ca="1">IF(ROWS($1:34)&gt;COUNT(Dong),"",OFFSET(TH!K$1,SMALL(Dong,ROWS($1:34)),))</f>
        <v>7120</v>
      </c>
      <c r="I47" s="254">
        <f ca="1">IF(ROWS($1:34)&gt;COUNT(Dong),"",OFFSET(TH!J$1,SMALL(Dong,ROWS($1:34)),))</f>
        <v>14500</v>
      </c>
      <c r="J47" s="258">
        <f t="shared" ca="1" si="3"/>
        <v>103240000</v>
      </c>
      <c r="K47" s="255"/>
      <c r="L47" s="256"/>
      <c r="M47" s="236"/>
      <c r="N47" s="236"/>
      <c r="O47" s="236"/>
      <c r="P47" s="236"/>
      <c r="Q47" s="236"/>
      <c r="R47" s="236"/>
      <c r="S47" s="236"/>
      <c r="T47" s="236"/>
      <c r="U47" s="236"/>
      <c r="V47" s="236"/>
      <c r="W47" s="236"/>
      <c r="X47" s="236"/>
      <c r="Y47" s="236"/>
      <c r="Z47" s="236"/>
      <c r="AA47" s="236"/>
      <c r="AB47" s="236"/>
      <c r="AC47" s="236"/>
      <c r="AD47" s="236"/>
      <c r="AE47" s="236"/>
      <c r="AF47" s="236"/>
      <c r="AG47" s="236"/>
      <c r="AH47" s="236"/>
      <c r="AI47" s="236"/>
      <c r="AJ47" s="236"/>
      <c r="AK47" s="236"/>
      <c r="AL47" s="236"/>
      <c r="AM47" s="236"/>
      <c r="AN47" s="236"/>
      <c r="AO47" s="236"/>
      <c r="AP47" s="236"/>
      <c r="AQ47" s="236"/>
      <c r="AR47" s="236"/>
      <c r="AS47" s="236"/>
      <c r="AT47" s="236"/>
      <c r="AU47" s="236"/>
      <c r="AV47" s="236"/>
      <c r="AW47" s="236"/>
      <c r="AX47" s="236"/>
      <c r="AY47" s="236"/>
      <c r="AZ47" s="236"/>
      <c r="BA47" s="236"/>
      <c r="BB47" s="236"/>
      <c r="BC47" s="236"/>
      <c r="BD47" s="236"/>
      <c r="BE47" s="236"/>
      <c r="BF47" s="236"/>
      <c r="BG47" s="236"/>
      <c r="BH47" s="236"/>
      <c r="BI47" s="236"/>
      <c r="BJ47" s="236"/>
      <c r="BK47" s="236"/>
      <c r="BL47" s="236"/>
      <c r="BM47" s="236"/>
      <c r="BN47" s="236"/>
      <c r="BO47" s="236"/>
      <c r="BP47" s="236"/>
      <c r="BQ47" s="236"/>
      <c r="BR47" s="236"/>
      <c r="BS47" s="236"/>
      <c r="BT47" s="236"/>
      <c r="BU47" s="236"/>
      <c r="BV47" s="236"/>
      <c r="BW47" s="236"/>
      <c r="BX47" s="236"/>
      <c r="BY47" s="236"/>
      <c r="BZ47" s="236"/>
      <c r="CA47" s="236"/>
      <c r="CB47" s="236"/>
      <c r="CC47" s="236"/>
      <c r="CD47" s="236"/>
      <c r="CE47" s="236"/>
      <c r="CF47" s="236"/>
      <c r="CG47" s="236"/>
    </row>
    <row r="48" spans="1:85" s="257" customFormat="1" ht="21.75" customHeight="1">
      <c r="A48" s="70">
        <f ca="1">IF(ROWS($1:35)&gt;COUNT(Dong),"",OFFSET(TH!E$1,SMALL(Dong,ROWS($1:35)),))</f>
        <v>42365</v>
      </c>
      <c r="B48" s="273" t="str">
        <f ca="1">IF(ROWS($1:35)&gt;COUNT(Dong),"",OFFSET(TH!G$1,SMALL(Dong,ROWS($1:35)),))</f>
        <v>Võ Văn Bá</v>
      </c>
      <c r="C48" s="251" t="str">
        <f t="shared" ca="1" si="0"/>
        <v>Tiền</v>
      </c>
      <c r="D48" s="251" t="str">
        <f ca="1">IF(ROWS($1:35)&gt;COUNT(Dong),"",OFFSET(TH!D$1,SMALL(Dong,ROWS($1:35)),))</f>
        <v>N38</v>
      </c>
      <c r="E48" s="252" t="str">
        <f t="shared" ca="1" si="1"/>
        <v>Vũng Tàu</v>
      </c>
      <c r="F48" s="252">
        <f t="shared" ca="1" si="2"/>
        <v>270176684</v>
      </c>
      <c r="G48" s="253" t="str">
        <f ca="1">IF(ROWS($1:35)&gt;COUNT(Dong),"",OFFSET(TH!F$1,SMALL(Dong,ROWS($1:35)),))</f>
        <v>Cá bò NL</v>
      </c>
      <c r="H48" s="254">
        <f ca="1">IF(ROWS($1:35)&gt;COUNT(Dong),"",OFFSET(TH!K$1,SMALL(Dong,ROWS($1:35)),))</f>
        <v>6973</v>
      </c>
      <c r="I48" s="254">
        <f ca="1">IF(ROWS($1:35)&gt;COUNT(Dong),"",OFFSET(TH!J$1,SMALL(Dong,ROWS($1:35)),))</f>
        <v>14500</v>
      </c>
      <c r="J48" s="258">
        <f t="shared" ca="1" si="3"/>
        <v>101108500</v>
      </c>
      <c r="K48" s="255"/>
      <c r="L48" s="25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6"/>
      <c r="AV48" s="236"/>
      <c r="AW48" s="236"/>
      <c r="AX48" s="236"/>
      <c r="AY48" s="236"/>
      <c r="AZ48" s="236"/>
      <c r="BA48" s="236"/>
      <c r="BB48" s="236"/>
      <c r="BC48" s="236"/>
      <c r="BD48" s="236"/>
      <c r="BE48" s="236"/>
      <c r="BF48" s="236"/>
      <c r="BG48" s="236"/>
      <c r="BH48" s="236"/>
      <c r="BI48" s="236"/>
      <c r="BJ48" s="236"/>
      <c r="BK48" s="236"/>
      <c r="BL48" s="236"/>
      <c r="BM48" s="236"/>
      <c r="BN48" s="236"/>
      <c r="BO48" s="236"/>
      <c r="BP48" s="236"/>
      <c r="BQ48" s="236"/>
      <c r="BR48" s="236"/>
      <c r="BS48" s="236"/>
      <c r="BT48" s="236"/>
      <c r="BU48" s="236"/>
      <c r="BV48" s="236"/>
      <c r="BW48" s="236"/>
      <c r="BX48" s="236"/>
      <c r="BY48" s="236"/>
      <c r="BZ48" s="236"/>
      <c r="CA48" s="236"/>
      <c r="CB48" s="236"/>
      <c r="CC48" s="236"/>
      <c r="CD48" s="236"/>
      <c r="CE48" s="236"/>
      <c r="CF48" s="236"/>
      <c r="CG48" s="236"/>
    </row>
    <row r="49" spans="1:85" s="257" customFormat="1" ht="21.75" customHeight="1">
      <c r="A49" s="70">
        <f ca="1">IF(ROWS($1:36)&gt;COUNT(Dong),"",OFFSET(TH!E$1,SMALL(Dong,ROWS($1:36)),))</f>
        <v>42365</v>
      </c>
      <c r="B49" s="273" t="str">
        <f ca="1">IF(ROWS($1:36)&gt;COUNT(Dong),"",OFFSET(TH!G$1,SMALL(Dong,ROWS($1:36)),))</f>
        <v>Nguyễn Thanh Vân</v>
      </c>
      <c r="C49" s="251" t="str">
        <f t="shared" ca="1" si="0"/>
        <v>Tiền</v>
      </c>
      <c r="D49" s="251" t="str">
        <f ca="1">IF(ROWS($1:36)&gt;COUNT(Dong),"",OFFSET(TH!D$1,SMALL(Dong,ROWS($1:36)),))</f>
        <v>N39</v>
      </c>
      <c r="E49" s="252" t="str">
        <f t="shared" ca="1" si="1"/>
        <v>Vũng Tàu</v>
      </c>
      <c r="F49" s="252">
        <f t="shared" ca="1" si="2"/>
        <v>270176960</v>
      </c>
      <c r="G49" s="253" t="str">
        <f ca="1">IF(ROWS($1:36)&gt;COUNT(Dong),"",OFFSET(TH!F$1,SMALL(Dong,ROWS($1:36)),))</f>
        <v>Cá bò NL</v>
      </c>
      <c r="H49" s="254">
        <f ca="1">IF(ROWS($1:36)&gt;COUNT(Dong),"",OFFSET(TH!K$1,SMALL(Dong,ROWS($1:36)),))</f>
        <v>7048</v>
      </c>
      <c r="I49" s="254">
        <f ca="1">IF(ROWS($1:36)&gt;COUNT(Dong),"",OFFSET(TH!J$1,SMALL(Dong,ROWS($1:36)),))</f>
        <v>14500</v>
      </c>
      <c r="J49" s="258">
        <f t="shared" ca="1" si="3"/>
        <v>102196000</v>
      </c>
      <c r="K49" s="255"/>
      <c r="L49" s="256"/>
      <c r="M49" s="236"/>
      <c r="N49" s="236"/>
      <c r="O49" s="236"/>
      <c r="P49" s="236"/>
      <c r="Q49" s="236"/>
      <c r="R49" s="236"/>
      <c r="S49" s="236"/>
      <c r="T49" s="236"/>
      <c r="U49" s="236"/>
      <c r="V49" s="236"/>
      <c r="W49" s="236"/>
      <c r="X49" s="236"/>
      <c r="Y49" s="236"/>
      <c r="Z49" s="236"/>
      <c r="AA49" s="236"/>
      <c r="AB49" s="236"/>
      <c r="AC49" s="236"/>
      <c r="AD49" s="236"/>
      <c r="AE49" s="236"/>
      <c r="AF49" s="236"/>
      <c r="AG49" s="236"/>
      <c r="AH49" s="236"/>
      <c r="AI49" s="236"/>
      <c r="AJ49" s="236"/>
      <c r="AK49" s="236"/>
      <c r="AL49" s="236"/>
      <c r="AM49" s="236"/>
      <c r="AN49" s="236"/>
      <c r="AO49" s="236"/>
      <c r="AP49" s="236"/>
      <c r="AQ49" s="236"/>
      <c r="AR49" s="236"/>
      <c r="AS49" s="236"/>
      <c r="AT49" s="236"/>
      <c r="AU49" s="236"/>
      <c r="AV49" s="236"/>
      <c r="AW49" s="236"/>
      <c r="AX49" s="236"/>
      <c r="AY49" s="236"/>
      <c r="AZ49" s="236"/>
      <c r="BA49" s="236"/>
      <c r="BB49" s="236"/>
      <c r="BC49" s="236"/>
      <c r="BD49" s="236"/>
      <c r="BE49" s="236"/>
      <c r="BF49" s="236"/>
      <c r="BG49" s="236"/>
      <c r="BH49" s="236"/>
      <c r="BI49" s="236"/>
      <c r="BJ49" s="236"/>
      <c r="BK49" s="236"/>
      <c r="BL49" s="236"/>
      <c r="BM49" s="236"/>
      <c r="BN49" s="236"/>
      <c r="BO49" s="236"/>
      <c r="BP49" s="236"/>
      <c r="BQ49" s="236"/>
      <c r="BR49" s="236"/>
      <c r="BS49" s="236"/>
      <c r="BT49" s="236"/>
      <c r="BU49" s="236"/>
      <c r="BV49" s="236"/>
      <c r="BW49" s="236"/>
      <c r="BX49" s="236"/>
      <c r="BY49" s="236"/>
      <c r="BZ49" s="236"/>
      <c r="CA49" s="236"/>
      <c r="CB49" s="236"/>
      <c r="CC49" s="236"/>
      <c r="CD49" s="236"/>
      <c r="CE49" s="236"/>
      <c r="CF49" s="236"/>
      <c r="CG49" s="236"/>
    </row>
    <row r="50" spans="1:85" s="257" customFormat="1" ht="21.75" customHeight="1">
      <c r="A50" s="70">
        <f ca="1">IF(ROWS($1:37)&gt;COUNT(Dong),"",OFFSET(TH!E$1,SMALL(Dong,ROWS($1:37)),))</f>
        <v>42365</v>
      </c>
      <c r="B50" s="273" t="str">
        <f ca="1">IF(ROWS($1:37)&gt;COUNT(Dong),"",OFFSET(TH!G$1,SMALL(Dong,ROWS($1:37)),))</f>
        <v>Võ Thị Bảy</v>
      </c>
      <c r="C50" s="251" t="str">
        <f t="shared" ca="1" si="0"/>
        <v>Tiền</v>
      </c>
      <c r="D50" s="251" t="str">
        <f ca="1">IF(ROWS($1:37)&gt;COUNT(Dong),"",OFFSET(TH!D$1,SMALL(Dong,ROWS($1:37)),))</f>
        <v>N40</v>
      </c>
      <c r="E50" s="252" t="str">
        <f t="shared" ca="1" si="1"/>
        <v>Vũng Tàu</v>
      </c>
      <c r="F50" s="252">
        <f t="shared" ca="1" si="2"/>
        <v>270106056</v>
      </c>
      <c r="G50" s="253" t="str">
        <f ca="1">IF(ROWS($1:37)&gt;COUNT(Dong),"",OFFSET(TH!F$1,SMALL(Dong,ROWS($1:37)),))</f>
        <v>Cá bò NL</v>
      </c>
      <c r="H50" s="254">
        <f ca="1">IF(ROWS($1:37)&gt;COUNT(Dong),"",OFFSET(TH!K$1,SMALL(Dong,ROWS($1:37)),))</f>
        <v>7780</v>
      </c>
      <c r="I50" s="254">
        <f ca="1">IF(ROWS($1:37)&gt;COUNT(Dong),"",OFFSET(TH!J$1,SMALL(Dong,ROWS($1:37)),))</f>
        <v>14500</v>
      </c>
      <c r="J50" s="258">
        <f t="shared" ca="1" si="3"/>
        <v>112810000</v>
      </c>
      <c r="K50" s="255"/>
      <c r="L50" s="256"/>
      <c r="M50" s="236"/>
      <c r="N50" s="236"/>
      <c r="O50" s="236"/>
      <c r="P50" s="236"/>
      <c r="Q50" s="236"/>
      <c r="R50" s="236"/>
      <c r="S50" s="236"/>
      <c r="T50" s="236"/>
      <c r="U50" s="236"/>
      <c r="V50" s="236"/>
      <c r="W50" s="236"/>
      <c r="X50" s="236"/>
      <c r="Y50" s="236"/>
      <c r="Z50" s="236"/>
      <c r="AA50" s="236"/>
      <c r="AB50" s="236"/>
      <c r="AC50" s="236"/>
      <c r="AD50" s="236"/>
      <c r="AE50" s="236"/>
      <c r="AF50" s="236"/>
      <c r="AG50" s="236"/>
      <c r="AH50" s="236"/>
      <c r="AI50" s="236"/>
      <c r="AJ50" s="236"/>
      <c r="AK50" s="236"/>
      <c r="AL50" s="236"/>
      <c r="AM50" s="236"/>
      <c r="AN50" s="236"/>
      <c r="AO50" s="236"/>
      <c r="AP50" s="236"/>
      <c r="AQ50" s="236"/>
      <c r="AR50" s="236"/>
      <c r="AS50" s="236"/>
      <c r="AT50" s="236"/>
      <c r="AU50" s="236"/>
      <c r="AV50" s="236"/>
      <c r="AW50" s="236"/>
      <c r="AX50" s="236"/>
      <c r="AY50" s="236"/>
      <c r="AZ50" s="236"/>
      <c r="BA50" s="236"/>
      <c r="BB50" s="236"/>
      <c r="BC50" s="236"/>
      <c r="BD50" s="236"/>
      <c r="BE50" s="236"/>
      <c r="BF50" s="236"/>
      <c r="BG50" s="236"/>
      <c r="BH50" s="236"/>
      <c r="BI50" s="236"/>
      <c r="BJ50" s="236"/>
      <c r="BK50" s="236"/>
      <c r="BL50" s="236"/>
      <c r="BM50" s="236"/>
      <c r="BN50" s="236"/>
      <c r="BO50" s="236"/>
      <c r="BP50" s="236"/>
      <c r="BQ50" s="236"/>
      <c r="BR50" s="236"/>
      <c r="BS50" s="236"/>
      <c r="BT50" s="236"/>
      <c r="BU50" s="236"/>
      <c r="BV50" s="236"/>
      <c r="BW50" s="236"/>
      <c r="BX50" s="236"/>
      <c r="BY50" s="236"/>
      <c r="BZ50" s="236"/>
      <c r="CA50" s="236"/>
      <c r="CB50" s="236"/>
      <c r="CC50" s="236"/>
      <c r="CD50" s="236"/>
      <c r="CE50" s="236"/>
      <c r="CF50" s="236"/>
      <c r="CG50" s="236"/>
    </row>
    <row r="51" spans="1:85" s="257" customFormat="1" ht="21.75" customHeight="1">
      <c r="A51" s="70">
        <f ca="1">IF(ROWS($1:38)&gt;COUNT(Dong),"",OFFSET(TH!E$1,SMALL(Dong,ROWS($1:38)),))</f>
        <v>42367</v>
      </c>
      <c r="B51" s="273" t="str">
        <f ca="1">IF(ROWS($1:38)&gt;COUNT(Dong),"",OFFSET(TH!G$1,SMALL(Dong,ROWS($1:38)),))</f>
        <v>Võ Thị Bảy</v>
      </c>
      <c r="C51" s="251" t="str">
        <f t="shared" ca="1" si="0"/>
        <v>Tiền</v>
      </c>
      <c r="D51" s="251" t="str">
        <f ca="1">IF(ROWS($1:38)&gt;COUNT(Dong),"",OFFSET(TH!D$1,SMALL(Dong,ROWS($1:38)),))</f>
        <v>N43</v>
      </c>
      <c r="E51" s="252" t="str">
        <f t="shared" ca="1" si="1"/>
        <v>Vũng Tàu</v>
      </c>
      <c r="F51" s="252">
        <f t="shared" ca="1" si="2"/>
        <v>270106056</v>
      </c>
      <c r="G51" s="253" t="str">
        <f ca="1">IF(ROWS($1:38)&gt;COUNT(Dong),"",OFFSET(TH!F$1,SMALL(Dong,ROWS($1:38)),))</f>
        <v>Cá bò NL</v>
      </c>
      <c r="H51" s="254">
        <f ca="1">IF(ROWS($1:38)&gt;COUNT(Dong),"",OFFSET(TH!K$1,SMALL(Dong,ROWS($1:38)),))</f>
        <v>7049</v>
      </c>
      <c r="I51" s="254">
        <f ca="1">IF(ROWS($1:38)&gt;COUNT(Dong),"",OFFSET(TH!J$1,SMALL(Dong,ROWS($1:38)),))</f>
        <v>14500</v>
      </c>
      <c r="J51" s="258">
        <f t="shared" ca="1" si="3"/>
        <v>102210500</v>
      </c>
      <c r="K51" s="255"/>
      <c r="L51" s="256"/>
      <c r="M51" s="236"/>
      <c r="N51" s="236"/>
      <c r="O51" s="236"/>
      <c r="P51" s="236"/>
      <c r="Q51" s="236"/>
      <c r="R51" s="236"/>
      <c r="S51" s="236"/>
      <c r="T51" s="236"/>
      <c r="U51" s="236"/>
      <c r="V51" s="236"/>
      <c r="W51" s="236"/>
      <c r="X51" s="236"/>
      <c r="Y51" s="236"/>
      <c r="Z51" s="236"/>
      <c r="AA51" s="236"/>
      <c r="AB51" s="236"/>
      <c r="AC51" s="236"/>
      <c r="AD51" s="236"/>
      <c r="AE51" s="236"/>
      <c r="AF51" s="236"/>
      <c r="AG51" s="236"/>
      <c r="AH51" s="236"/>
      <c r="AI51" s="236"/>
      <c r="AJ51" s="236"/>
      <c r="AK51" s="236"/>
      <c r="AL51" s="236"/>
      <c r="AM51" s="236"/>
      <c r="AN51" s="236"/>
      <c r="AO51" s="236"/>
      <c r="AP51" s="236"/>
      <c r="AQ51" s="236"/>
      <c r="AR51" s="236"/>
      <c r="AS51" s="236"/>
      <c r="AT51" s="236"/>
      <c r="AU51" s="236"/>
      <c r="AV51" s="236"/>
      <c r="AW51" s="236"/>
      <c r="AX51" s="236"/>
      <c r="AY51" s="236"/>
      <c r="AZ51" s="236"/>
      <c r="BA51" s="236"/>
      <c r="BB51" s="236"/>
      <c r="BC51" s="236"/>
      <c r="BD51" s="236"/>
      <c r="BE51" s="236"/>
      <c r="BF51" s="236"/>
      <c r="BG51" s="236"/>
      <c r="BH51" s="236"/>
      <c r="BI51" s="236"/>
      <c r="BJ51" s="236"/>
      <c r="BK51" s="236"/>
      <c r="BL51" s="236"/>
      <c r="BM51" s="236"/>
      <c r="BN51" s="236"/>
      <c r="BO51" s="236"/>
      <c r="BP51" s="236"/>
      <c r="BQ51" s="236"/>
      <c r="BR51" s="236"/>
      <c r="BS51" s="236"/>
      <c r="BT51" s="236"/>
      <c r="BU51" s="236"/>
      <c r="BV51" s="236"/>
      <c r="BW51" s="236"/>
      <c r="BX51" s="236"/>
      <c r="BY51" s="236"/>
      <c r="BZ51" s="236"/>
      <c r="CA51" s="236"/>
      <c r="CB51" s="236"/>
      <c r="CC51" s="236"/>
      <c r="CD51" s="236"/>
      <c r="CE51" s="236"/>
      <c r="CF51" s="236"/>
      <c r="CG51" s="236"/>
    </row>
    <row r="52" spans="1:85" s="257" customFormat="1" ht="21.75" customHeight="1">
      <c r="A52" s="70">
        <f ca="1">IF(ROWS($1:39)&gt;COUNT(Dong),"",OFFSET(TH!E$1,SMALL(Dong,ROWS($1:39)),))</f>
        <v>42367</v>
      </c>
      <c r="B52" s="273" t="str">
        <f ca="1">IF(ROWS($1:39)&gt;COUNT(Dong),"",OFFSET(TH!G$1,SMALL(Dong,ROWS($1:39)),))</f>
        <v>Võ Văn Bá</v>
      </c>
      <c r="C52" s="251" t="str">
        <f t="shared" ca="1" si="0"/>
        <v>Tiền</v>
      </c>
      <c r="D52" s="251" t="str">
        <f ca="1">IF(ROWS($1:39)&gt;COUNT(Dong),"",OFFSET(TH!D$1,SMALL(Dong,ROWS($1:39)),))</f>
        <v>N44</v>
      </c>
      <c r="E52" s="252" t="str">
        <f t="shared" ca="1" si="1"/>
        <v>Vũng Tàu</v>
      </c>
      <c r="F52" s="252">
        <f t="shared" ca="1" si="2"/>
        <v>270176684</v>
      </c>
      <c r="G52" s="253" t="str">
        <f ca="1">IF(ROWS($1:39)&gt;COUNT(Dong),"",OFFSET(TH!F$1,SMALL(Dong,ROWS($1:39)),))</f>
        <v>Cá bò NL</v>
      </c>
      <c r="H52" s="254">
        <f ca="1">IF(ROWS($1:39)&gt;COUNT(Dong),"",OFFSET(TH!K$1,SMALL(Dong,ROWS($1:39)),))</f>
        <v>7450</v>
      </c>
      <c r="I52" s="254">
        <f ca="1">IF(ROWS($1:39)&gt;COUNT(Dong),"",OFFSET(TH!J$1,SMALL(Dong,ROWS($1:39)),))</f>
        <v>14500</v>
      </c>
      <c r="J52" s="258">
        <f t="shared" ca="1" si="3"/>
        <v>108025000</v>
      </c>
      <c r="K52" s="255"/>
      <c r="L52" s="256"/>
      <c r="M52" s="236"/>
      <c r="N52" s="236"/>
      <c r="O52" s="236"/>
      <c r="P52" s="236"/>
      <c r="Q52" s="236"/>
      <c r="R52" s="236"/>
      <c r="S52" s="236"/>
      <c r="T52" s="236"/>
      <c r="U52" s="236"/>
      <c r="V52" s="236"/>
      <c r="W52" s="236"/>
      <c r="X52" s="236"/>
      <c r="Y52" s="236"/>
      <c r="Z52" s="236"/>
      <c r="AA52" s="236"/>
      <c r="AB52" s="236"/>
      <c r="AC52" s="236"/>
      <c r="AD52" s="236"/>
      <c r="AE52" s="236"/>
      <c r="AF52" s="236"/>
      <c r="AG52" s="236"/>
      <c r="AH52" s="236"/>
      <c r="AI52" s="236"/>
      <c r="AJ52" s="236"/>
      <c r="AK52" s="236"/>
      <c r="AL52" s="236"/>
      <c r="AM52" s="236"/>
      <c r="AN52" s="236"/>
      <c r="AO52" s="236"/>
      <c r="AP52" s="236"/>
      <c r="AQ52" s="236"/>
      <c r="AR52" s="236"/>
      <c r="AS52" s="236"/>
      <c r="AT52" s="236"/>
      <c r="AU52" s="236"/>
      <c r="AV52" s="236"/>
      <c r="AW52" s="236"/>
      <c r="AX52" s="236"/>
      <c r="AY52" s="236"/>
      <c r="AZ52" s="236"/>
      <c r="BA52" s="236"/>
      <c r="BB52" s="236"/>
      <c r="BC52" s="236"/>
      <c r="BD52" s="236"/>
      <c r="BE52" s="236"/>
      <c r="BF52" s="236"/>
      <c r="BG52" s="236"/>
      <c r="BH52" s="236"/>
      <c r="BI52" s="236"/>
      <c r="BJ52" s="236"/>
      <c r="BK52" s="236"/>
      <c r="BL52" s="236"/>
      <c r="BM52" s="236"/>
      <c r="BN52" s="236"/>
      <c r="BO52" s="236"/>
      <c r="BP52" s="236"/>
      <c r="BQ52" s="236"/>
      <c r="BR52" s="236"/>
      <c r="BS52" s="236"/>
      <c r="BT52" s="236"/>
      <c r="BU52" s="236"/>
      <c r="BV52" s="236"/>
      <c r="BW52" s="236"/>
      <c r="BX52" s="236"/>
      <c r="BY52" s="236"/>
      <c r="BZ52" s="236"/>
      <c r="CA52" s="236"/>
      <c r="CB52" s="236"/>
      <c r="CC52" s="236"/>
      <c r="CD52" s="236"/>
      <c r="CE52" s="236"/>
      <c r="CF52" s="236"/>
      <c r="CG52" s="236"/>
    </row>
    <row r="53" spans="1:85" s="257" customFormat="1" ht="21.75" customHeight="1">
      <c r="A53" s="70">
        <f ca="1">IF(ROWS($1:40)&gt;COUNT(Dong),"",OFFSET(TH!E$1,SMALL(Dong,ROWS($1:40)),))</f>
        <v>42367</v>
      </c>
      <c r="B53" s="273" t="str">
        <f ca="1">IF(ROWS($1:40)&gt;COUNT(Dong),"",OFFSET(TH!G$1,SMALL(Dong,ROWS($1:40)),))</f>
        <v>Nguyễn Thanh Vân</v>
      </c>
      <c r="C53" s="251" t="str">
        <f t="shared" ca="1" si="0"/>
        <v>Tiền</v>
      </c>
      <c r="D53" s="251" t="str">
        <f ca="1">IF(ROWS($1:40)&gt;COUNT(Dong),"",OFFSET(TH!D$1,SMALL(Dong,ROWS($1:40)),))</f>
        <v>N45</v>
      </c>
      <c r="E53" s="252" t="str">
        <f t="shared" ca="1" si="1"/>
        <v>Vũng Tàu</v>
      </c>
      <c r="F53" s="252">
        <f t="shared" ca="1" si="2"/>
        <v>270176960</v>
      </c>
      <c r="G53" s="253" t="str">
        <f ca="1">IF(ROWS($1:40)&gt;COUNT(Dong),"",OFFSET(TH!F$1,SMALL(Dong,ROWS($1:40)),))</f>
        <v>Cá bò NL</v>
      </c>
      <c r="H53" s="254">
        <f ca="1">IF(ROWS($1:40)&gt;COUNT(Dong),"",OFFSET(TH!K$1,SMALL(Dong,ROWS($1:40)),))</f>
        <v>7390</v>
      </c>
      <c r="I53" s="254">
        <f ca="1">IF(ROWS($1:40)&gt;COUNT(Dong),"",OFFSET(TH!J$1,SMALL(Dong,ROWS($1:40)),))</f>
        <v>14500</v>
      </c>
      <c r="J53" s="258">
        <f t="shared" ca="1" si="3"/>
        <v>107155000</v>
      </c>
      <c r="K53" s="255"/>
      <c r="L53" s="256"/>
      <c r="M53" s="236"/>
      <c r="N53" s="236"/>
      <c r="O53" s="236"/>
      <c r="P53" s="236"/>
      <c r="Q53" s="236"/>
      <c r="R53" s="236"/>
      <c r="S53" s="236"/>
      <c r="T53" s="236"/>
      <c r="U53" s="236"/>
      <c r="V53" s="236"/>
      <c r="W53" s="236"/>
      <c r="X53" s="236"/>
      <c r="Y53" s="236"/>
      <c r="Z53" s="236"/>
      <c r="AA53" s="236"/>
      <c r="AB53" s="236"/>
      <c r="AC53" s="236"/>
      <c r="AD53" s="236"/>
      <c r="AE53" s="236"/>
      <c r="AF53" s="236"/>
      <c r="AG53" s="236"/>
      <c r="AH53" s="236"/>
      <c r="AI53" s="236"/>
      <c r="AJ53" s="236"/>
      <c r="AK53" s="236"/>
      <c r="AL53" s="236"/>
      <c r="AM53" s="236"/>
      <c r="AN53" s="236"/>
      <c r="AO53" s="236"/>
      <c r="AP53" s="236"/>
      <c r="AQ53" s="236"/>
      <c r="AR53" s="236"/>
      <c r="AS53" s="236"/>
      <c r="AT53" s="236"/>
      <c r="AU53" s="236"/>
      <c r="AV53" s="236"/>
      <c r="AW53" s="236"/>
      <c r="AX53" s="236"/>
      <c r="AY53" s="236"/>
      <c r="AZ53" s="236"/>
      <c r="BA53" s="236"/>
      <c r="BB53" s="236"/>
      <c r="BC53" s="236"/>
      <c r="BD53" s="236"/>
      <c r="BE53" s="236"/>
      <c r="BF53" s="236"/>
      <c r="BG53" s="236"/>
      <c r="BH53" s="236"/>
      <c r="BI53" s="236"/>
      <c r="BJ53" s="236"/>
      <c r="BK53" s="236"/>
      <c r="BL53" s="236"/>
      <c r="BM53" s="236"/>
      <c r="BN53" s="236"/>
      <c r="BO53" s="236"/>
      <c r="BP53" s="236"/>
      <c r="BQ53" s="236"/>
      <c r="BR53" s="236"/>
      <c r="BS53" s="236"/>
      <c r="BT53" s="236"/>
      <c r="BU53" s="236"/>
      <c r="BV53" s="236"/>
      <c r="BW53" s="236"/>
      <c r="BX53" s="236"/>
      <c r="BY53" s="236"/>
      <c r="BZ53" s="236"/>
      <c r="CA53" s="236"/>
      <c r="CB53" s="236"/>
      <c r="CC53" s="236"/>
      <c r="CD53" s="236"/>
      <c r="CE53" s="236"/>
      <c r="CF53" s="236"/>
      <c r="CG53" s="236"/>
    </row>
    <row r="54" spans="1:85" s="257" customFormat="1" ht="21.75" customHeight="1">
      <c r="A54" s="70">
        <f ca="1">IF(ROWS($1:41)&gt;COUNT(Dong),"",OFFSET(TH!E$1,SMALL(Dong,ROWS($1:41)),))</f>
        <v>42367</v>
      </c>
      <c r="B54" s="273" t="str">
        <f ca="1">IF(ROWS($1:41)&gt;COUNT(Dong),"",OFFSET(TH!G$1,SMALL(Dong,ROWS($1:41)),))</f>
        <v>Hồ Thị Mỹ</v>
      </c>
      <c r="C54" s="251" t="str">
        <f t="shared" ca="1" si="0"/>
        <v>Tiền</v>
      </c>
      <c r="D54" s="251" t="str">
        <f ca="1">IF(ROWS($1:41)&gt;COUNT(Dong),"",OFFSET(TH!D$1,SMALL(Dong,ROWS($1:41)),))</f>
        <v>N46</v>
      </c>
      <c r="E54" s="252" t="str">
        <f t="shared" ca="1" si="1"/>
        <v>Vũng Tàu</v>
      </c>
      <c r="F54" s="252">
        <f t="shared" ca="1" si="2"/>
        <v>270986506</v>
      </c>
      <c r="G54" s="253" t="str">
        <f ca="1">IF(ROWS($1:41)&gt;COUNT(Dong),"",OFFSET(TH!F$1,SMALL(Dong,ROWS($1:41)),))</f>
        <v>Cá bò NL</v>
      </c>
      <c r="H54" s="254">
        <f ca="1">IF(ROWS($1:41)&gt;COUNT(Dong),"",OFFSET(TH!K$1,SMALL(Dong,ROWS($1:41)),))</f>
        <v>7840</v>
      </c>
      <c r="I54" s="254">
        <f ca="1">IF(ROWS($1:41)&gt;COUNT(Dong),"",OFFSET(TH!J$1,SMALL(Dong,ROWS($1:41)),))</f>
        <v>14500</v>
      </c>
      <c r="J54" s="258">
        <f t="shared" ca="1" si="3"/>
        <v>113680000</v>
      </c>
      <c r="K54" s="255"/>
      <c r="L54" s="256"/>
      <c r="M54" s="236"/>
      <c r="N54" s="236"/>
      <c r="O54" s="236"/>
      <c r="P54" s="236"/>
      <c r="Q54" s="236"/>
      <c r="R54" s="236"/>
      <c r="S54" s="236"/>
      <c r="T54" s="236"/>
      <c r="U54" s="236"/>
      <c r="V54" s="236"/>
      <c r="W54" s="236"/>
      <c r="X54" s="236"/>
      <c r="Y54" s="236"/>
      <c r="Z54" s="236"/>
      <c r="AA54" s="236"/>
      <c r="AB54" s="236"/>
      <c r="AC54" s="236"/>
      <c r="AD54" s="236"/>
      <c r="AE54" s="236"/>
      <c r="AF54" s="236"/>
      <c r="AG54" s="236"/>
      <c r="AH54" s="236"/>
      <c r="AI54" s="236"/>
      <c r="AJ54" s="236"/>
      <c r="AK54" s="236"/>
      <c r="AL54" s="236"/>
      <c r="AM54" s="236"/>
      <c r="AN54" s="236"/>
      <c r="AO54" s="236"/>
      <c r="AP54" s="236"/>
      <c r="AQ54" s="236"/>
      <c r="AR54" s="236"/>
      <c r="AS54" s="236"/>
      <c r="AT54" s="236"/>
      <c r="AU54" s="236"/>
      <c r="AV54" s="236"/>
      <c r="AW54" s="236"/>
      <c r="AX54" s="236"/>
      <c r="AY54" s="236"/>
      <c r="AZ54" s="236"/>
      <c r="BA54" s="236"/>
      <c r="BB54" s="236"/>
      <c r="BC54" s="236"/>
      <c r="BD54" s="236"/>
      <c r="BE54" s="236"/>
      <c r="BF54" s="236"/>
      <c r="BG54" s="236"/>
      <c r="BH54" s="236"/>
      <c r="BI54" s="236"/>
      <c r="BJ54" s="236"/>
      <c r="BK54" s="236"/>
      <c r="BL54" s="236"/>
      <c r="BM54" s="236"/>
      <c r="BN54" s="236"/>
      <c r="BO54" s="236"/>
      <c r="BP54" s="236"/>
      <c r="BQ54" s="236"/>
      <c r="BR54" s="236"/>
      <c r="BS54" s="236"/>
      <c r="BT54" s="236"/>
      <c r="BU54" s="236"/>
      <c r="BV54" s="236"/>
      <c r="BW54" s="236"/>
      <c r="BX54" s="236"/>
      <c r="BY54" s="236"/>
      <c r="BZ54" s="236"/>
      <c r="CA54" s="236"/>
      <c r="CB54" s="236"/>
      <c r="CC54" s="236"/>
      <c r="CD54" s="236"/>
      <c r="CE54" s="236"/>
      <c r="CF54" s="236"/>
      <c r="CG54" s="236"/>
    </row>
    <row r="55" spans="1:85" s="257" customFormat="1" ht="21.75" customHeight="1">
      <c r="A55" s="70">
        <f ca="1">IF(ROWS($1:42)&gt;COUNT(Dong),"",OFFSET(TH!E$1,SMALL(Dong,ROWS($1:42)),))</f>
        <v>42369</v>
      </c>
      <c r="B55" s="273" t="str">
        <f ca="1">IF(ROWS($1:42)&gt;COUNT(Dong),"",OFFSET(TH!G$1,SMALL(Dong,ROWS($1:42)),))</f>
        <v>Phạm Thị Ngọc</v>
      </c>
      <c r="C55" s="251" t="str">
        <f t="shared" ca="1" si="0"/>
        <v>Tiền</v>
      </c>
      <c r="D55" s="251" t="str">
        <f ca="1">IF(ROWS($1:42)&gt;COUNT(Dong),"",OFFSET(TH!D$1,SMALL(Dong,ROWS($1:42)),))</f>
        <v>N49</v>
      </c>
      <c r="E55" s="252" t="str">
        <f t="shared" ca="1" si="1"/>
        <v>Nha Trang - Khánh Hoà</v>
      </c>
      <c r="F55" s="252">
        <f t="shared" ca="1" si="2"/>
        <v>220557300</v>
      </c>
      <c r="G55" s="253" t="str">
        <f ca="1">IF(ROWS($1:42)&gt;COUNT(Dong),"",OFFSET(TH!F$1,SMALL(Dong,ROWS($1:42)),))</f>
        <v>Cá bò NL</v>
      </c>
      <c r="H55" s="254">
        <f ca="1">IF(ROWS($1:42)&gt;COUNT(Dong),"",OFFSET(TH!K$1,SMALL(Dong,ROWS($1:42)),))</f>
        <v>7890</v>
      </c>
      <c r="I55" s="254">
        <f ca="1">IF(ROWS($1:42)&gt;COUNT(Dong),"",OFFSET(TH!J$1,SMALL(Dong,ROWS($1:42)),))</f>
        <v>14500</v>
      </c>
      <c r="J55" s="258">
        <f t="shared" ca="1" si="3"/>
        <v>114405000</v>
      </c>
      <c r="K55" s="255"/>
      <c r="L55" s="256"/>
      <c r="M55" s="236"/>
      <c r="N55" s="236"/>
      <c r="O55" s="236"/>
      <c r="P55" s="236"/>
      <c r="Q55" s="236"/>
      <c r="R55" s="236"/>
      <c r="S55" s="236"/>
      <c r="T55" s="236"/>
      <c r="U55" s="236"/>
      <c r="V55" s="236"/>
      <c r="W55" s="236"/>
      <c r="X55" s="236"/>
      <c r="Y55" s="236"/>
      <c r="Z55" s="236"/>
      <c r="AA55" s="236"/>
      <c r="AB55" s="236"/>
      <c r="AC55" s="236"/>
      <c r="AD55" s="236"/>
      <c r="AE55" s="236"/>
      <c r="AF55" s="236"/>
      <c r="AG55" s="236"/>
      <c r="AH55" s="236"/>
      <c r="AI55" s="236"/>
      <c r="AJ55" s="236"/>
      <c r="AK55" s="236"/>
      <c r="AL55" s="236"/>
      <c r="AM55" s="236"/>
      <c r="AN55" s="236"/>
      <c r="AO55" s="236"/>
      <c r="AP55" s="236"/>
      <c r="AQ55" s="236"/>
      <c r="AR55" s="236"/>
      <c r="AS55" s="236"/>
      <c r="AT55" s="236"/>
      <c r="AU55" s="236"/>
      <c r="AV55" s="236"/>
      <c r="AW55" s="236"/>
      <c r="AX55" s="236"/>
      <c r="AY55" s="236"/>
      <c r="AZ55" s="236"/>
      <c r="BA55" s="236"/>
      <c r="BB55" s="236"/>
      <c r="BC55" s="236"/>
      <c r="BD55" s="236"/>
      <c r="BE55" s="236"/>
      <c r="BF55" s="236"/>
      <c r="BG55" s="236"/>
      <c r="BH55" s="236"/>
      <c r="BI55" s="236"/>
      <c r="BJ55" s="236"/>
      <c r="BK55" s="236"/>
      <c r="BL55" s="236"/>
      <c r="BM55" s="236"/>
      <c r="BN55" s="236"/>
      <c r="BO55" s="236"/>
      <c r="BP55" s="236"/>
      <c r="BQ55" s="236"/>
      <c r="BR55" s="236"/>
      <c r="BS55" s="236"/>
      <c r="BT55" s="236"/>
      <c r="BU55" s="236"/>
      <c r="BV55" s="236"/>
      <c r="BW55" s="236"/>
      <c r="BX55" s="236"/>
      <c r="BY55" s="236"/>
      <c r="BZ55" s="236"/>
      <c r="CA55" s="236"/>
      <c r="CB55" s="236"/>
      <c r="CC55" s="236"/>
      <c r="CD55" s="236"/>
      <c r="CE55" s="236"/>
      <c r="CF55" s="236"/>
      <c r="CG55" s="236"/>
    </row>
    <row r="56" spans="1:85" s="257" customFormat="1" ht="21.75" customHeight="1">
      <c r="A56" s="70">
        <f ca="1">IF(ROWS($1:43)&gt;COUNT(Dong),"",OFFSET(TH!E$1,SMALL(Dong,ROWS($1:43)),))</f>
        <v>42369</v>
      </c>
      <c r="B56" s="273" t="str">
        <f ca="1">IF(ROWS($1:43)&gt;COUNT(Dong),"",OFFSET(TH!G$1,SMALL(Dong,ROWS($1:43)),))</f>
        <v>Nguyễn Đức Tiến</v>
      </c>
      <c r="C56" s="251" t="str">
        <f t="shared" ca="1" si="0"/>
        <v>Tiền</v>
      </c>
      <c r="D56" s="251" t="str">
        <f ca="1">IF(ROWS($1:43)&gt;COUNT(Dong),"",OFFSET(TH!D$1,SMALL(Dong,ROWS($1:43)),))</f>
        <v>N50</v>
      </c>
      <c r="E56" s="252" t="str">
        <f t="shared" ca="1" si="1"/>
        <v>Vũng Tàu</v>
      </c>
      <c r="F56" s="252">
        <f t="shared" ca="1" si="2"/>
        <v>273249576</v>
      </c>
      <c r="G56" s="253" t="str">
        <f ca="1">IF(ROWS($1:43)&gt;COUNT(Dong),"",OFFSET(TH!F$1,SMALL(Dong,ROWS($1:43)),))</f>
        <v>Cá bò NL</v>
      </c>
      <c r="H56" s="254">
        <f ca="1">IF(ROWS($1:43)&gt;COUNT(Dong),"",OFFSET(TH!K$1,SMALL(Dong,ROWS($1:43)),))</f>
        <v>7540</v>
      </c>
      <c r="I56" s="254">
        <f ca="1">IF(ROWS($1:43)&gt;COUNT(Dong),"",OFFSET(TH!J$1,SMALL(Dong,ROWS($1:43)),))</f>
        <v>14500</v>
      </c>
      <c r="J56" s="258">
        <f t="shared" ca="1" si="3"/>
        <v>109330000</v>
      </c>
      <c r="K56" s="255"/>
      <c r="L56" s="256"/>
      <c r="M56" s="236"/>
      <c r="N56" s="236"/>
      <c r="O56" s="236"/>
      <c r="P56" s="236"/>
      <c r="Q56" s="236"/>
      <c r="R56" s="236"/>
      <c r="S56" s="236"/>
      <c r="T56" s="236"/>
      <c r="U56" s="236"/>
      <c r="V56" s="236"/>
      <c r="W56" s="236"/>
      <c r="X56" s="236"/>
      <c r="Y56" s="236"/>
      <c r="Z56" s="236"/>
      <c r="AA56" s="236"/>
      <c r="AB56" s="236"/>
      <c r="AC56" s="236"/>
      <c r="AD56" s="236"/>
      <c r="AE56" s="236"/>
      <c r="AF56" s="236"/>
      <c r="AG56" s="236"/>
      <c r="AH56" s="236"/>
      <c r="AI56" s="236"/>
      <c r="AJ56" s="236"/>
      <c r="AK56" s="236"/>
      <c r="AL56" s="236"/>
      <c r="AM56" s="236"/>
      <c r="AN56" s="236"/>
      <c r="AO56" s="236"/>
      <c r="AP56" s="236"/>
      <c r="AQ56" s="236"/>
      <c r="AR56" s="236"/>
      <c r="AS56" s="236"/>
      <c r="AT56" s="236"/>
      <c r="AU56" s="236"/>
      <c r="AV56" s="236"/>
      <c r="AW56" s="236"/>
      <c r="AX56" s="236"/>
      <c r="AY56" s="236"/>
      <c r="AZ56" s="236"/>
      <c r="BA56" s="236"/>
      <c r="BB56" s="236"/>
      <c r="BC56" s="236"/>
      <c r="BD56" s="236"/>
      <c r="BE56" s="236"/>
      <c r="BF56" s="236"/>
      <c r="BG56" s="236"/>
      <c r="BH56" s="236"/>
      <c r="BI56" s="236"/>
      <c r="BJ56" s="236"/>
      <c r="BK56" s="236"/>
      <c r="BL56" s="236"/>
      <c r="BM56" s="236"/>
      <c r="BN56" s="236"/>
      <c r="BO56" s="236"/>
      <c r="BP56" s="236"/>
      <c r="BQ56" s="236"/>
      <c r="BR56" s="236"/>
      <c r="BS56" s="236"/>
      <c r="BT56" s="236"/>
      <c r="BU56" s="236"/>
      <c r="BV56" s="236"/>
      <c r="BW56" s="236"/>
      <c r="BX56" s="236"/>
      <c r="BY56" s="236"/>
      <c r="BZ56" s="236"/>
      <c r="CA56" s="236"/>
      <c r="CB56" s="236"/>
      <c r="CC56" s="236"/>
      <c r="CD56" s="236"/>
      <c r="CE56" s="236"/>
      <c r="CF56" s="236"/>
      <c r="CG56" s="236"/>
    </row>
    <row r="57" spans="1:85" s="257" customFormat="1" ht="21.75" customHeight="1">
      <c r="A57" s="70">
        <f ca="1">IF(ROWS($1:44)&gt;COUNT(Dong),"",OFFSET(TH!E$1,SMALL(Dong,ROWS($1:44)),))</f>
        <v>42369</v>
      </c>
      <c r="B57" s="273" t="str">
        <f ca="1">IF(ROWS($1:44)&gt;COUNT(Dong),"",OFFSET(TH!G$1,SMALL(Dong,ROWS($1:44)),))</f>
        <v>Võ Thị Bảy</v>
      </c>
      <c r="C57" s="251" t="str">
        <f t="shared" ca="1" si="0"/>
        <v>Tiền</v>
      </c>
      <c r="D57" s="251" t="str">
        <f ca="1">IF(ROWS($1:44)&gt;COUNT(Dong),"",OFFSET(TH!D$1,SMALL(Dong,ROWS($1:44)),))</f>
        <v>N51</v>
      </c>
      <c r="E57" s="252" t="str">
        <f t="shared" ca="1" si="1"/>
        <v>Vũng Tàu</v>
      </c>
      <c r="F57" s="252">
        <f t="shared" ca="1" si="2"/>
        <v>270106056</v>
      </c>
      <c r="G57" s="253" t="str">
        <f ca="1">IF(ROWS($1:44)&gt;COUNT(Dong),"",OFFSET(TH!F$1,SMALL(Dong,ROWS($1:44)),))</f>
        <v>Cá bò NL</v>
      </c>
      <c r="H57" s="254">
        <f ca="1">IF(ROWS($1:44)&gt;COUNT(Dong),"",OFFSET(TH!K$1,SMALL(Dong,ROWS($1:44)),))</f>
        <v>7860</v>
      </c>
      <c r="I57" s="254">
        <f ca="1">IF(ROWS($1:44)&gt;COUNT(Dong),"",OFFSET(TH!J$1,SMALL(Dong,ROWS($1:44)),))</f>
        <v>14500</v>
      </c>
      <c r="J57" s="258">
        <f t="shared" ca="1" si="3"/>
        <v>113970000</v>
      </c>
      <c r="K57" s="255"/>
      <c r="L57" s="256"/>
      <c r="M57" s="236"/>
      <c r="N57" s="236"/>
      <c r="O57" s="236"/>
      <c r="P57" s="236"/>
      <c r="Q57" s="236"/>
      <c r="R57" s="236"/>
      <c r="S57" s="236"/>
      <c r="T57" s="236"/>
      <c r="U57" s="236"/>
      <c r="V57" s="236"/>
      <c r="W57" s="236"/>
      <c r="X57" s="236"/>
      <c r="Y57" s="236"/>
      <c r="Z57" s="236"/>
      <c r="AA57" s="236"/>
      <c r="AB57" s="236"/>
      <c r="AC57" s="236"/>
      <c r="AD57" s="236"/>
      <c r="AE57" s="236"/>
      <c r="AF57" s="236"/>
      <c r="AG57" s="236"/>
      <c r="AH57" s="236"/>
      <c r="AI57" s="236"/>
      <c r="AJ57" s="236"/>
      <c r="AK57" s="236"/>
      <c r="AL57" s="236"/>
      <c r="AM57" s="236"/>
      <c r="AN57" s="236"/>
      <c r="AO57" s="236"/>
      <c r="AP57" s="236"/>
      <c r="AQ57" s="236"/>
      <c r="AR57" s="236"/>
      <c r="AS57" s="236"/>
      <c r="AT57" s="236"/>
      <c r="AU57" s="236"/>
      <c r="AV57" s="236"/>
      <c r="AW57" s="236"/>
      <c r="AX57" s="236"/>
      <c r="AY57" s="236"/>
      <c r="AZ57" s="236"/>
      <c r="BA57" s="236"/>
      <c r="BB57" s="236"/>
      <c r="BC57" s="236"/>
      <c r="BD57" s="236"/>
      <c r="BE57" s="236"/>
      <c r="BF57" s="236"/>
      <c r="BG57" s="236"/>
      <c r="BH57" s="236"/>
      <c r="BI57" s="236"/>
      <c r="BJ57" s="236"/>
      <c r="BK57" s="236"/>
      <c r="BL57" s="236"/>
      <c r="BM57" s="236"/>
      <c r="BN57" s="236"/>
      <c r="BO57" s="236"/>
      <c r="BP57" s="236"/>
      <c r="BQ57" s="236"/>
      <c r="BR57" s="236"/>
      <c r="BS57" s="236"/>
      <c r="BT57" s="236"/>
      <c r="BU57" s="236"/>
      <c r="BV57" s="236"/>
      <c r="BW57" s="236"/>
      <c r="BX57" s="236"/>
      <c r="BY57" s="236"/>
      <c r="BZ57" s="236"/>
      <c r="CA57" s="236"/>
      <c r="CB57" s="236"/>
      <c r="CC57" s="236"/>
      <c r="CD57" s="236"/>
      <c r="CE57" s="236"/>
      <c r="CF57" s="236"/>
      <c r="CG57" s="236"/>
    </row>
    <row r="58" spans="1:85" s="257" customFormat="1" ht="21.75" customHeight="1">
      <c r="A58" s="70">
        <f ca="1">IF(ROWS($1:45)&gt;COUNT(Dong),"",OFFSET(TH!E$1,SMALL(Dong,ROWS($1:45)),))</f>
        <v>42369</v>
      </c>
      <c r="B58" s="273" t="str">
        <f ca="1">IF(ROWS($1:45)&gt;COUNT(Dong),"",OFFSET(TH!G$1,SMALL(Dong,ROWS($1:45)),))</f>
        <v>Võ Văn Bá</v>
      </c>
      <c r="C58" s="251" t="str">
        <f t="shared" ca="1" si="0"/>
        <v>Tiền</v>
      </c>
      <c r="D58" s="251" t="str">
        <f ca="1">IF(ROWS($1:45)&gt;COUNT(Dong),"",OFFSET(TH!D$1,SMALL(Dong,ROWS($1:45)),))</f>
        <v>N52</v>
      </c>
      <c r="E58" s="252" t="str">
        <f t="shared" ca="1" si="1"/>
        <v>Vũng Tàu</v>
      </c>
      <c r="F58" s="252">
        <f t="shared" ca="1" si="2"/>
        <v>270176684</v>
      </c>
      <c r="G58" s="253" t="str">
        <f ca="1">IF(ROWS($1:45)&gt;COUNT(Dong),"",OFFSET(TH!F$1,SMALL(Dong,ROWS($1:45)),))</f>
        <v>Cá bò NL</v>
      </c>
      <c r="H58" s="254">
        <f ca="1">IF(ROWS($1:45)&gt;COUNT(Dong),"",OFFSET(TH!K$1,SMALL(Dong,ROWS($1:45)),))</f>
        <v>7491</v>
      </c>
      <c r="I58" s="254">
        <f ca="1">IF(ROWS($1:45)&gt;COUNT(Dong),"",OFFSET(TH!J$1,SMALL(Dong,ROWS($1:45)),))</f>
        <v>14500</v>
      </c>
      <c r="J58" s="258">
        <f t="shared" ca="1" si="3"/>
        <v>108619500</v>
      </c>
      <c r="K58" s="255"/>
      <c r="L58" s="256"/>
      <c r="M58" s="236"/>
      <c r="N58" s="236"/>
      <c r="O58" s="236"/>
      <c r="P58" s="236"/>
      <c r="Q58" s="236"/>
      <c r="R58" s="236"/>
      <c r="S58" s="236"/>
      <c r="T58" s="236"/>
      <c r="U58" s="236"/>
      <c r="V58" s="236"/>
      <c r="W58" s="236"/>
      <c r="X58" s="236"/>
      <c r="Y58" s="236"/>
      <c r="Z58" s="236"/>
      <c r="AA58" s="236"/>
      <c r="AB58" s="236"/>
      <c r="AC58" s="236"/>
      <c r="AD58" s="236"/>
      <c r="AE58" s="236"/>
      <c r="AF58" s="236"/>
      <c r="AG58" s="236"/>
      <c r="AH58" s="236"/>
      <c r="AI58" s="236"/>
      <c r="AJ58" s="236"/>
      <c r="AK58" s="236"/>
      <c r="AL58" s="236"/>
      <c r="AM58" s="236"/>
      <c r="AN58" s="236"/>
      <c r="AO58" s="236"/>
      <c r="AP58" s="236"/>
      <c r="AQ58" s="236"/>
      <c r="AR58" s="236"/>
      <c r="AS58" s="236"/>
      <c r="AT58" s="236"/>
      <c r="AU58" s="236"/>
      <c r="AV58" s="236"/>
      <c r="AW58" s="236"/>
      <c r="AX58" s="236"/>
      <c r="AY58" s="236"/>
      <c r="AZ58" s="236"/>
      <c r="BA58" s="236"/>
      <c r="BB58" s="236"/>
      <c r="BC58" s="236"/>
      <c r="BD58" s="236"/>
      <c r="BE58" s="236"/>
      <c r="BF58" s="236"/>
      <c r="BG58" s="236"/>
      <c r="BH58" s="236"/>
      <c r="BI58" s="236"/>
      <c r="BJ58" s="236"/>
      <c r="BK58" s="236"/>
      <c r="BL58" s="236"/>
      <c r="BM58" s="236"/>
      <c r="BN58" s="236"/>
      <c r="BO58" s="236"/>
      <c r="BP58" s="236"/>
      <c r="BQ58" s="236"/>
      <c r="BR58" s="236"/>
      <c r="BS58" s="236"/>
      <c r="BT58" s="236"/>
      <c r="BU58" s="236"/>
      <c r="BV58" s="236"/>
      <c r="BW58" s="236"/>
      <c r="BX58" s="236"/>
      <c r="BY58" s="236"/>
      <c r="BZ58" s="236"/>
      <c r="CA58" s="236"/>
      <c r="CB58" s="236"/>
      <c r="CC58" s="236"/>
      <c r="CD58" s="236"/>
      <c r="CE58" s="236"/>
      <c r="CF58" s="236"/>
      <c r="CG58" s="236"/>
    </row>
    <row r="59" spans="1:85" s="257" customFormat="1" ht="21.75" customHeight="1">
      <c r="A59" s="70">
        <f ca="1">IF(ROWS($1:46)&gt;COUNT(Dong),"",OFFSET(TH!E$1,SMALL(Dong,ROWS($1:46)),))</f>
        <v>42364</v>
      </c>
      <c r="B59" s="273" t="str">
        <f ca="1">IF(ROWS($1:46)&gt;COUNT(Dong),"",OFFSET(TH!G$1,SMALL(Dong,ROWS($1:46)),))</f>
        <v>Nguyễn Thị Tuyết Đang</v>
      </c>
      <c r="C59" s="251" t="str">
        <f t="shared" ca="1" si="0"/>
        <v>Hai</v>
      </c>
      <c r="D59" s="251" t="str">
        <f ca="1">IF(ROWS($1:46)&gt;COUNT(Dong),"",OFFSET(TH!D$1,SMALL(Dong,ROWS($1:46)),))</f>
        <v>N33</v>
      </c>
      <c r="E59" s="252" t="str">
        <f t="shared" ca="1" si="1"/>
        <v>Ba Tri - Bến Tre</v>
      </c>
      <c r="F59" s="252">
        <f t="shared" ca="1" si="2"/>
        <v>320883374</v>
      </c>
      <c r="G59" s="253" t="str">
        <f ca="1">IF(ROWS($1:46)&gt;COUNT(Dong),"",OFFSET(TH!F$1,SMALL(Dong,ROWS($1:46)),))</f>
        <v>Ghẹ NL</v>
      </c>
      <c r="H59" s="254">
        <f ca="1">IF(ROWS($1:46)&gt;COUNT(Dong),"",OFFSET(TH!K$1,SMALL(Dong,ROWS($1:46)),))</f>
        <v>6780</v>
      </c>
      <c r="I59" s="254">
        <f ca="1">IF(ROWS($1:46)&gt;COUNT(Dong),"",OFFSET(TH!J$1,SMALL(Dong,ROWS($1:46)),))</f>
        <v>18500</v>
      </c>
      <c r="J59" s="258">
        <f t="shared" ca="1" si="3"/>
        <v>125430000</v>
      </c>
      <c r="K59" s="255"/>
      <c r="L59" s="256"/>
      <c r="M59" s="236"/>
      <c r="N59" s="236"/>
      <c r="O59" s="236"/>
      <c r="P59" s="236"/>
      <c r="Q59" s="236"/>
      <c r="R59" s="236"/>
      <c r="S59" s="236"/>
      <c r="T59" s="236"/>
      <c r="U59" s="236"/>
      <c r="V59" s="236"/>
      <c r="W59" s="236"/>
      <c r="X59" s="236"/>
      <c r="Y59" s="236"/>
      <c r="Z59" s="236"/>
      <c r="AA59" s="236"/>
      <c r="AB59" s="236"/>
      <c r="AC59" s="236"/>
      <c r="AD59" s="236"/>
      <c r="AE59" s="236"/>
      <c r="AF59" s="236"/>
      <c r="AG59" s="236"/>
      <c r="AH59" s="236"/>
      <c r="AI59" s="236"/>
      <c r="AJ59" s="236"/>
      <c r="AK59" s="236"/>
      <c r="AL59" s="236"/>
      <c r="AM59" s="236"/>
      <c r="AN59" s="236"/>
      <c r="AO59" s="236"/>
      <c r="AP59" s="236"/>
      <c r="AQ59" s="236"/>
      <c r="AR59" s="236"/>
      <c r="AS59" s="236"/>
      <c r="AT59" s="236"/>
      <c r="AU59" s="236"/>
      <c r="AV59" s="236"/>
      <c r="AW59" s="236"/>
      <c r="AX59" s="236"/>
      <c r="AY59" s="236"/>
      <c r="AZ59" s="236"/>
      <c r="BA59" s="236"/>
      <c r="BB59" s="236"/>
      <c r="BC59" s="236"/>
      <c r="BD59" s="236"/>
      <c r="BE59" s="236"/>
      <c r="BF59" s="236"/>
      <c r="BG59" s="236"/>
      <c r="BH59" s="236"/>
      <c r="BI59" s="236"/>
      <c r="BJ59" s="236"/>
      <c r="BK59" s="236"/>
      <c r="BL59" s="236"/>
      <c r="BM59" s="236"/>
      <c r="BN59" s="236"/>
      <c r="BO59" s="236"/>
      <c r="BP59" s="236"/>
      <c r="BQ59" s="236"/>
      <c r="BR59" s="236"/>
      <c r="BS59" s="236"/>
      <c r="BT59" s="236"/>
      <c r="BU59" s="236"/>
      <c r="BV59" s="236"/>
      <c r="BW59" s="236"/>
      <c r="BX59" s="236"/>
      <c r="BY59" s="236"/>
      <c r="BZ59" s="236"/>
      <c r="CA59" s="236"/>
      <c r="CB59" s="236"/>
      <c r="CC59" s="236"/>
      <c r="CD59" s="236"/>
      <c r="CE59" s="236"/>
      <c r="CF59" s="236"/>
      <c r="CG59" s="236"/>
    </row>
    <row r="60" spans="1:85" s="257" customFormat="1" ht="21.75" customHeight="1">
      <c r="A60" s="70">
        <f ca="1">IF(ROWS($1:47)&gt;COUNT(Dong),"",OFFSET(TH!E$1,SMALL(Dong,ROWS($1:47)),))</f>
        <v>42364</v>
      </c>
      <c r="B60" s="273" t="str">
        <f ca="1">IF(ROWS($1:47)&gt;COUNT(Dong),"",OFFSET(TH!G$1,SMALL(Dong,ROWS($1:47)),))</f>
        <v>Võ Văn Thắng</v>
      </c>
      <c r="C60" s="251" t="str">
        <f t="shared" ca="1" si="0"/>
        <v>Hai</v>
      </c>
      <c r="D60" s="251" t="str">
        <f ca="1">IF(ROWS($1:47)&gt;COUNT(Dong),"",OFFSET(TH!D$1,SMALL(Dong,ROWS($1:47)),))</f>
        <v>N34</v>
      </c>
      <c r="E60" s="252" t="str">
        <f t="shared" ca="1" si="1"/>
        <v>Ba Tri - Bến Tre</v>
      </c>
      <c r="F60" s="252">
        <f t="shared" ca="1" si="2"/>
        <v>320044169</v>
      </c>
      <c r="G60" s="253" t="str">
        <f ca="1">IF(ROWS($1:47)&gt;COUNT(Dong),"",OFFSET(TH!F$1,SMALL(Dong,ROWS($1:47)),))</f>
        <v>Ghẹ NL</v>
      </c>
      <c r="H60" s="254">
        <f ca="1">IF(ROWS($1:47)&gt;COUNT(Dong),"",OFFSET(TH!K$1,SMALL(Dong,ROWS($1:47)),))</f>
        <v>6930</v>
      </c>
      <c r="I60" s="254">
        <f ca="1">IF(ROWS($1:47)&gt;COUNT(Dong),"",OFFSET(TH!J$1,SMALL(Dong,ROWS($1:47)),))</f>
        <v>18500</v>
      </c>
      <c r="J60" s="258">
        <f t="shared" ca="1" si="3"/>
        <v>128205000</v>
      </c>
      <c r="K60" s="255"/>
      <c r="L60" s="256"/>
      <c r="M60" s="236"/>
      <c r="N60" s="236"/>
      <c r="O60" s="236"/>
      <c r="P60" s="236"/>
      <c r="Q60" s="236"/>
      <c r="R60" s="236"/>
      <c r="S60" s="236"/>
      <c r="T60" s="236"/>
      <c r="U60" s="236"/>
      <c r="V60" s="236"/>
      <c r="W60" s="236"/>
      <c r="X60" s="236"/>
      <c r="Y60" s="236"/>
      <c r="Z60" s="236"/>
      <c r="AA60" s="236"/>
      <c r="AB60" s="236"/>
      <c r="AC60" s="236"/>
      <c r="AD60" s="236"/>
      <c r="AE60" s="236"/>
      <c r="AF60" s="236"/>
      <c r="AG60" s="236"/>
      <c r="AH60" s="236"/>
      <c r="AI60" s="236"/>
      <c r="AJ60" s="236"/>
      <c r="AK60" s="236"/>
      <c r="AL60" s="236"/>
      <c r="AM60" s="236"/>
      <c r="AN60" s="236"/>
      <c r="AO60" s="236"/>
      <c r="AP60" s="236"/>
      <c r="AQ60" s="236"/>
      <c r="AR60" s="236"/>
      <c r="AS60" s="236"/>
      <c r="AT60" s="236"/>
      <c r="AU60" s="236"/>
      <c r="AV60" s="236"/>
      <c r="AW60" s="236"/>
      <c r="AX60" s="236"/>
      <c r="AY60" s="236"/>
      <c r="AZ60" s="236"/>
      <c r="BA60" s="236"/>
      <c r="BB60" s="236"/>
      <c r="BC60" s="236"/>
      <c r="BD60" s="236"/>
      <c r="BE60" s="236"/>
      <c r="BF60" s="236"/>
      <c r="BG60" s="236"/>
      <c r="BH60" s="236"/>
      <c r="BI60" s="236"/>
      <c r="BJ60" s="236"/>
      <c r="BK60" s="236"/>
      <c r="BL60" s="236"/>
      <c r="BM60" s="236"/>
      <c r="BN60" s="236"/>
      <c r="BO60" s="236"/>
      <c r="BP60" s="236"/>
      <c r="BQ60" s="236"/>
      <c r="BR60" s="236"/>
      <c r="BS60" s="236"/>
      <c r="BT60" s="236"/>
      <c r="BU60" s="236"/>
      <c r="BV60" s="236"/>
      <c r="BW60" s="236"/>
      <c r="BX60" s="236"/>
      <c r="BY60" s="236"/>
      <c r="BZ60" s="236"/>
      <c r="CA60" s="236"/>
      <c r="CB60" s="236"/>
      <c r="CC60" s="236"/>
      <c r="CD60" s="236"/>
      <c r="CE60" s="236"/>
      <c r="CF60" s="236"/>
      <c r="CG60" s="236"/>
    </row>
    <row r="61" spans="1:85" s="257" customFormat="1" ht="21.75" customHeight="1">
      <c r="A61" s="70">
        <f ca="1">IF(ROWS($1:48)&gt;COUNT(Dong),"",OFFSET(TH!E$1,SMALL(Dong,ROWS($1:48)),))</f>
        <v>42364</v>
      </c>
      <c r="B61" s="273" t="str">
        <f ca="1">IF(ROWS($1:48)&gt;COUNT(Dong),"",OFFSET(TH!G$1,SMALL(Dong,ROWS($1:48)),))</f>
        <v>Nguyễn Văn Phong</v>
      </c>
      <c r="C61" s="251" t="str">
        <f t="shared" ca="1" si="0"/>
        <v>Hai</v>
      </c>
      <c r="D61" s="251" t="str">
        <f ca="1">IF(ROWS($1:48)&gt;COUNT(Dong),"",OFFSET(TH!D$1,SMALL(Dong,ROWS($1:48)),))</f>
        <v>N35</v>
      </c>
      <c r="E61" s="252" t="str">
        <f t="shared" ca="1" si="1"/>
        <v>Ba Tri - Bến Tre</v>
      </c>
      <c r="F61" s="252">
        <f t="shared" ca="1" si="2"/>
        <v>320892558</v>
      </c>
      <c r="G61" s="253" t="str">
        <f ca="1">IF(ROWS($1:48)&gt;COUNT(Dong),"",OFFSET(TH!F$1,SMALL(Dong,ROWS($1:48)),))</f>
        <v>Ghẹ NL</v>
      </c>
      <c r="H61" s="254">
        <f ca="1">IF(ROWS($1:48)&gt;COUNT(Dong),"",OFFSET(TH!K$1,SMALL(Dong,ROWS($1:48)),))</f>
        <v>6830</v>
      </c>
      <c r="I61" s="254">
        <f ca="1">IF(ROWS($1:48)&gt;COUNT(Dong),"",OFFSET(TH!J$1,SMALL(Dong,ROWS($1:48)),))</f>
        <v>18500</v>
      </c>
      <c r="J61" s="258">
        <f t="shared" ref="J61:J66" ca="1" si="4">IF(B61&lt;&gt;"",H61*I61,0)</f>
        <v>126355000</v>
      </c>
      <c r="K61" s="255"/>
      <c r="L61" s="256"/>
      <c r="M61" s="236"/>
      <c r="N61" s="236"/>
      <c r="O61" s="236"/>
      <c r="P61" s="236"/>
      <c r="Q61" s="236"/>
      <c r="R61" s="236"/>
      <c r="S61" s="236"/>
      <c r="T61" s="236"/>
      <c r="U61" s="236"/>
      <c r="V61" s="236"/>
      <c r="W61" s="236"/>
      <c r="X61" s="236"/>
      <c r="Y61" s="236"/>
      <c r="Z61" s="236"/>
      <c r="AA61" s="236"/>
      <c r="AB61" s="236"/>
      <c r="AC61" s="236"/>
      <c r="AD61" s="236"/>
      <c r="AE61" s="236"/>
      <c r="AF61" s="236"/>
      <c r="AG61" s="236"/>
      <c r="AH61" s="236"/>
      <c r="AI61" s="236"/>
      <c r="AJ61" s="236"/>
      <c r="AK61" s="236"/>
      <c r="AL61" s="236"/>
      <c r="AM61" s="236"/>
      <c r="AN61" s="236"/>
      <c r="AO61" s="236"/>
      <c r="AP61" s="236"/>
      <c r="AQ61" s="236"/>
      <c r="AR61" s="236"/>
      <c r="AS61" s="236"/>
      <c r="AT61" s="236"/>
      <c r="AU61" s="236"/>
      <c r="AV61" s="236"/>
      <c r="AW61" s="236"/>
      <c r="AX61" s="236"/>
      <c r="AY61" s="236"/>
      <c r="AZ61" s="236"/>
      <c r="BA61" s="236"/>
      <c r="BB61" s="236"/>
      <c r="BC61" s="236"/>
      <c r="BD61" s="236"/>
      <c r="BE61" s="236"/>
      <c r="BF61" s="236"/>
      <c r="BG61" s="236"/>
      <c r="BH61" s="236"/>
      <c r="BI61" s="236"/>
      <c r="BJ61" s="236"/>
      <c r="BK61" s="236"/>
      <c r="BL61" s="236"/>
      <c r="BM61" s="236"/>
      <c r="BN61" s="236"/>
      <c r="BO61" s="236"/>
      <c r="BP61" s="236"/>
      <c r="BQ61" s="236"/>
      <c r="BR61" s="236"/>
      <c r="BS61" s="236"/>
      <c r="BT61" s="236"/>
      <c r="BU61" s="236"/>
      <c r="BV61" s="236"/>
      <c r="BW61" s="236"/>
      <c r="BX61" s="236"/>
      <c r="BY61" s="236"/>
      <c r="BZ61" s="236"/>
      <c r="CA61" s="236"/>
      <c r="CB61" s="236"/>
      <c r="CC61" s="236"/>
      <c r="CD61" s="236"/>
      <c r="CE61" s="236"/>
      <c r="CF61" s="236"/>
      <c r="CG61" s="236"/>
    </row>
    <row r="62" spans="1:85" s="257" customFormat="1" ht="21.75" customHeight="1">
      <c r="A62" s="70">
        <f ca="1">IF(ROWS($1:49)&gt;COUNT(Dong),"",OFFSET(TH!E$1,SMALL(Dong,ROWS($1:49)),))</f>
        <v>42366</v>
      </c>
      <c r="B62" s="273" t="str">
        <f ca="1">IF(ROWS($1:49)&gt;COUNT(Dong),"",OFFSET(TH!G$1,SMALL(Dong,ROWS($1:49)),))</f>
        <v>Nguyễn Thị Tuyết Đang</v>
      </c>
      <c r="C62" s="251" t="str">
        <f t="shared" ca="1" si="0"/>
        <v>Hai</v>
      </c>
      <c r="D62" s="251" t="str">
        <f ca="1">IF(ROWS($1:49)&gt;COUNT(Dong),"",OFFSET(TH!D$1,SMALL(Dong,ROWS($1:49)),))</f>
        <v>N41</v>
      </c>
      <c r="E62" s="252" t="str">
        <f t="shared" ca="1" si="1"/>
        <v>Ba Tri - Bến Tre</v>
      </c>
      <c r="F62" s="252">
        <f t="shared" ca="1" si="2"/>
        <v>320883374</v>
      </c>
      <c r="G62" s="253" t="str">
        <f ca="1">IF(ROWS($1:49)&gt;COUNT(Dong),"",OFFSET(TH!F$1,SMALL(Dong,ROWS($1:49)),))</f>
        <v>Ghẹ NL</v>
      </c>
      <c r="H62" s="254">
        <f ca="1">IF(ROWS($1:49)&gt;COUNT(Dong),"",OFFSET(TH!K$1,SMALL(Dong,ROWS($1:49)),))</f>
        <v>6780</v>
      </c>
      <c r="I62" s="254">
        <f ca="1">IF(ROWS($1:49)&gt;COUNT(Dong),"",OFFSET(TH!J$1,SMALL(Dong,ROWS($1:49)),))</f>
        <v>18500</v>
      </c>
      <c r="J62" s="258">
        <f t="shared" ca="1" si="4"/>
        <v>125430000</v>
      </c>
      <c r="K62" s="255"/>
      <c r="L62" s="256"/>
      <c r="M62" s="236"/>
      <c r="N62" s="236"/>
      <c r="O62" s="236"/>
      <c r="P62" s="236"/>
      <c r="Q62" s="236"/>
      <c r="R62" s="236"/>
      <c r="S62" s="236"/>
      <c r="T62" s="236"/>
      <c r="U62" s="236"/>
      <c r="V62" s="236"/>
      <c r="W62" s="236"/>
      <c r="X62" s="236"/>
      <c r="Y62" s="236"/>
      <c r="Z62" s="236"/>
      <c r="AA62" s="236"/>
      <c r="AB62" s="236"/>
      <c r="AC62" s="236"/>
      <c r="AD62" s="236"/>
      <c r="AE62" s="236"/>
      <c r="AF62" s="236"/>
      <c r="AG62" s="236"/>
      <c r="AH62" s="236"/>
      <c r="AI62" s="236"/>
      <c r="AJ62" s="236"/>
      <c r="AK62" s="236"/>
      <c r="AL62" s="236"/>
      <c r="AM62" s="236"/>
      <c r="AN62" s="236"/>
      <c r="AO62" s="236"/>
      <c r="AP62" s="236"/>
      <c r="AQ62" s="236"/>
      <c r="AR62" s="236"/>
      <c r="AS62" s="236"/>
      <c r="AT62" s="236"/>
      <c r="AU62" s="236"/>
      <c r="AV62" s="236"/>
      <c r="AW62" s="236"/>
      <c r="AX62" s="236"/>
      <c r="AY62" s="236"/>
      <c r="AZ62" s="236"/>
      <c r="BA62" s="236"/>
      <c r="BB62" s="236"/>
      <c r="BC62" s="236"/>
      <c r="BD62" s="236"/>
      <c r="BE62" s="236"/>
      <c r="BF62" s="236"/>
      <c r="BG62" s="236"/>
      <c r="BH62" s="236"/>
      <c r="BI62" s="236"/>
      <c r="BJ62" s="236"/>
      <c r="BK62" s="236"/>
      <c r="BL62" s="236"/>
      <c r="BM62" s="236"/>
      <c r="BN62" s="236"/>
      <c r="BO62" s="236"/>
      <c r="BP62" s="236"/>
      <c r="BQ62" s="236"/>
      <c r="BR62" s="236"/>
      <c r="BS62" s="236"/>
      <c r="BT62" s="236"/>
      <c r="BU62" s="236"/>
      <c r="BV62" s="236"/>
      <c r="BW62" s="236"/>
      <c r="BX62" s="236"/>
      <c r="BY62" s="236"/>
      <c r="BZ62" s="236"/>
      <c r="CA62" s="236"/>
      <c r="CB62" s="236"/>
      <c r="CC62" s="236"/>
      <c r="CD62" s="236"/>
      <c r="CE62" s="236"/>
      <c r="CF62" s="236"/>
      <c r="CG62" s="236"/>
    </row>
    <row r="63" spans="1:85" s="257" customFormat="1" ht="21.75" customHeight="1">
      <c r="A63" s="70">
        <f ca="1">IF(ROWS($1:50)&gt;COUNT(Dong),"",OFFSET(TH!E$1,SMALL(Dong,ROWS($1:50)),))</f>
        <v>42366</v>
      </c>
      <c r="B63" s="273" t="str">
        <f ca="1">IF(ROWS($1:50)&gt;COUNT(Dong),"",OFFSET(TH!G$1,SMALL(Dong,ROWS($1:50)),))</f>
        <v>Võ Văn Thắng</v>
      </c>
      <c r="C63" s="251" t="str">
        <f t="shared" ca="1" si="0"/>
        <v>Hai</v>
      </c>
      <c r="D63" s="251" t="str">
        <f ca="1">IF(ROWS($1:50)&gt;COUNT(Dong),"",OFFSET(TH!D$1,SMALL(Dong,ROWS($1:50)),))</f>
        <v>N42</v>
      </c>
      <c r="E63" s="252" t="str">
        <f t="shared" ca="1" si="1"/>
        <v>Ba Tri - Bến Tre</v>
      </c>
      <c r="F63" s="252">
        <f t="shared" ca="1" si="2"/>
        <v>320044169</v>
      </c>
      <c r="G63" s="253" t="str">
        <f ca="1">IF(ROWS($1:50)&gt;COUNT(Dong),"",OFFSET(TH!F$1,SMALL(Dong,ROWS($1:50)),))</f>
        <v>Ghẹ NL</v>
      </c>
      <c r="H63" s="254">
        <f ca="1">IF(ROWS($1:50)&gt;COUNT(Dong),"",OFFSET(TH!K$1,SMALL(Dong,ROWS($1:50)),))</f>
        <v>6730</v>
      </c>
      <c r="I63" s="254">
        <f ca="1">IF(ROWS($1:50)&gt;COUNT(Dong),"",OFFSET(TH!J$1,SMALL(Dong,ROWS($1:50)),))</f>
        <v>18500</v>
      </c>
      <c r="J63" s="258">
        <f t="shared" ca="1" si="4"/>
        <v>124505000</v>
      </c>
      <c r="K63" s="255"/>
      <c r="L63" s="256"/>
      <c r="M63" s="236"/>
      <c r="N63" s="236"/>
      <c r="O63" s="236"/>
      <c r="P63" s="236"/>
      <c r="Q63" s="236"/>
      <c r="R63" s="236"/>
      <c r="S63" s="236"/>
      <c r="T63" s="236"/>
      <c r="U63" s="236"/>
      <c r="V63" s="236"/>
      <c r="W63" s="236"/>
      <c r="X63" s="236"/>
      <c r="Y63" s="236"/>
      <c r="Z63" s="236"/>
      <c r="AA63" s="236"/>
      <c r="AB63" s="236"/>
      <c r="AC63" s="236"/>
      <c r="AD63" s="236"/>
      <c r="AE63" s="236"/>
      <c r="AF63" s="236"/>
      <c r="AG63" s="236"/>
      <c r="AH63" s="236"/>
      <c r="AI63" s="236"/>
      <c r="AJ63" s="236"/>
      <c r="AK63" s="236"/>
      <c r="AL63" s="236"/>
      <c r="AM63" s="236"/>
      <c r="AN63" s="236"/>
      <c r="AO63" s="236"/>
      <c r="AP63" s="236"/>
      <c r="AQ63" s="236"/>
      <c r="AR63" s="236"/>
      <c r="AS63" s="236"/>
      <c r="AT63" s="236"/>
      <c r="AU63" s="236"/>
      <c r="AV63" s="236"/>
      <c r="AW63" s="236"/>
      <c r="AX63" s="236"/>
      <c r="AY63" s="236"/>
      <c r="AZ63" s="236"/>
      <c r="BA63" s="236"/>
      <c r="BB63" s="236"/>
      <c r="BC63" s="236"/>
      <c r="BD63" s="236"/>
      <c r="BE63" s="236"/>
      <c r="BF63" s="236"/>
      <c r="BG63" s="236"/>
      <c r="BH63" s="236"/>
      <c r="BI63" s="236"/>
      <c r="BJ63" s="236"/>
      <c r="BK63" s="236"/>
      <c r="BL63" s="236"/>
      <c r="BM63" s="236"/>
      <c r="BN63" s="236"/>
      <c r="BO63" s="236"/>
      <c r="BP63" s="236"/>
      <c r="BQ63" s="236"/>
      <c r="BR63" s="236"/>
      <c r="BS63" s="236"/>
      <c r="BT63" s="236"/>
      <c r="BU63" s="236"/>
      <c r="BV63" s="236"/>
      <c r="BW63" s="236"/>
      <c r="BX63" s="236"/>
      <c r="BY63" s="236"/>
      <c r="BZ63" s="236"/>
      <c r="CA63" s="236"/>
      <c r="CB63" s="236"/>
      <c r="CC63" s="236"/>
      <c r="CD63" s="236"/>
      <c r="CE63" s="236"/>
      <c r="CF63" s="236"/>
      <c r="CG63" s="236"/>
    </row>
    <row r="64" spans="1:85" s="257" customFormat="1" ht="21.75" customHeight="1">
      <c r="A64" s="70">
        <f ca="1">IF(ROWS($1:51)&gt;COUNT(Dong),"",OFFSET(TH!E$1,SMALL(Dong,ROWS($1:51)),))</f>
        <v>42368</v>
      </c>
      <c r="B64" s="273" t="str">
        <f ca="1">IF(ROWS($1:51)&gt;COUNT(Dong),"",OFFSET(TH!G$1,SMALL(Dong,ROWS($1:51)),))</f>
        <v>Nguyễn Thị Tuyết Đang</v>
      </c>
      <c r="C64" s="251" t="str">
        <f t="shared" ca="1" si="0"/>
        <v>Hai</v>
      </c>
      <c r="D64" s="251" t="str">
        <f ca="1">IF(ROWS($1:51)&gt;COUNT(Dong),"",OFFSET(TH!D$1,SMALL(Dong,ROWS($1:51)),))</f>
        <v>N47</v>
      </c>
      <c r="E64" s="252" t="str">
        <f t="shared" ca="1" si="1"/>
        <v>Ba Tri - Bến Tre</v>
      </c>
      <c r="F64" s="252">
        <f t="shared" ca="1" si="2"/>
        <v>320883374</v>
      </c>
      <c r="G64" s="253" t="str">
        <f ca="1">IF(ROWS($1:51)&gt;COUNT(Dong),"",OFFSET(TH!F$1,SMALL(Dong,ROWS($1:51)),))</f>
        <v>Ghẹ NL</v>
      </c>
      <c r="H64" s="254">
        <f ca="1">IF(ROWS($1:51)&gt;COUNT(Dong),"",OFFSET(TH!K$1,SMALL(Dong,ROWS($1:51)),))</f>
        <v>6043</v>
      </c>
      <c r="I64" s="254">
        <f ca="1">IF(ROWS($1:51)&gt;COUNT(Dong),"",OFFSET(TH!J$1,SMALL(Dong,ROWS($1:51)),))</f>
        <v>18500</v>
      </c>
      <c r="J64" s="258">
        <f t="shared" ca="1" si="4"/>
        <v>111795500</v>
      </c>
      <c r="K64" s="255"/>
      <c r="L64" s="256"/>
      <c r="M64" s="236"/>
      <c r="N64" s="236"/>
      <c r="O64" s="236"/>
      <c r="P64" s="236"/>
      <c r="Q64" s="236"/>
      <c r="R64" s="236"/>
      <c r="S64" s="236"/>
      <c r="T64" s="236"/>
      <c r="U64" s="236"/>
      <c r="V64" s="236"/>
      <c r="W64" s="236"/>
      <c r="X64" s="236"/>
      <c r="Y64" s="236"/>
      <c r="Z64" s="236"/>
      <c r="AA64" s="236"/>
      <c r="AB64" s="236"/>
      <c r="AC64" s="236"/>
      <c r="AD64" s="236"/>
      <c r="AE64" s="236"/>
      <c r="AF64" s="236"/>
      <c r="AG64" s="236"/>
      <c r="AH64" s="236"/>
      <c r="AI64" s="236"/>
      <c r="AJ64" s="236"/>
      <c r="AK64" s="236"/>
      <c r="AL64" s="236"/>
      <c r="AM64" s="236"/>
      <c r="AN64" s="236"/>
      <c r="AO64" s="236"/>
      <c r="AP64" s="236"/>
      <c r="AQ64" s="236"/>
      <c r="AR64" s="236"/>
      <c r="AS64" s="236"/>
      <c r="AT64" s="236"/>
      <c r="AU64" s="236"/>
      <c r="AV64" s="236"/>
      <c r="AW64" s="236"/>
      <c r="AX64" s="236"/>
      <c r="AY64" s="236"/>
      <c r="AZ64" s="236"/>
      <c r="BA64" s="236"/>
      <c r="BB64" s="236"/>
      <c r="BC64" s="236"/>
      <c r="BD64" s="236"/>
      <c r="BE64" s="236"/>
      <c r="BF64" s="236"/>
      <c r="BG64" s="236"/>
      <c r="BH64" s="236"/>
      <c r="BI64" s="236"/>
      <c r="BJ64" s="236"/>
      <c r="BK64" s="236"/>
      <c r="BL64" s="236"/>
      <c r="BM64" s="236"/>
      <c r="BN64" s="236"/>
      <c r="BO64" s="236"/>
      <c r="BP64" s="236"/>
      <c r="BQ64" s="236"/>
      <c r="BR64" s="236"/>
      <c r="BS64" s="236"/>
      <c r="BT64" s="236"/>
      <c r="BU64" s="236"/>
      <c r="BV64" s="236"/>
      <c r="BW64" s="236"/>
      <c r="BX64" s="236"/>
      <c r="BY64" s="236"/>
      <c r="BZ64" s="236"/>
      <c r="CA64" s="236"/>
      <c r="CB64" s="236"/>
      <c r="CC64" s="236"/>
      <c r="CD64" s="236"/>
      <c r="CE64" s="236"/>
      <c r="CF64" s="236"/>
      <c r="CG64" s="236"/>
    </row>
    <row r="65" spans="1:85" s="257" customFormat="1" ht="21.75" customHeight="1">
      <c r="A65" s="70">
        <f ca="1">IF(ROWS($1:52)&gt;COUNT(Dong),"",OFFSET(TH!E$1,SMALL(Dong,ROWS($1:52)),))</f>
        <v>42368</v>
      </c>
      <c r="B65" s="273" t="str">
        <f ca="1">IF(ROWS($1:52)&gt;COUNT(Dong),"",OFFSET(TH!G$1,SMALL(Dong,ROWS($1:52)),))</f>
        <v>Nguyễn Văn Phong</v>
      </c>
      <c r="C65" s="251" t="str">
        <f t="shared" ca="1" si="0"/>
        <v>Hai</v>
      </c>
      <c r="D65" s="251" t="str">
        <f ca="1">IF(ROWS($1:52)&gt;COUNT(Dong),"",OFFSET(TH!D$1,SMALL(Dong,ROWS($1:52)),))</f>
        <v>N48</v>
      </c>
      <c r="E65" s="252" t="str">
        <f t="shared" ca="1" si="1"/>
        <v>Ba Tri - Bến Tre</v>
      </c>
      <c r="F65" s="252">
        <f t="shared" ca="1" si="2"/>
        <v>320892558</v>
      </c>
      <c r="G65" s="253" t="str">
        <f ca="1">IF(ROWS($1:52)&gt;COUNT(Dong),"",OFFSET(TH!F$1,SMALL(Dong,ROWS($1:52)),))</f>
        <v>Ghẹ NL</v>
      </c>
      <c r="H65" s="254">
        <f ca="1">IF(ROWS($1:52)&gt;COUNT(Dong),"",OFFSET(TH!K$1,SMALL(Dong,ROWS($1:52)),))</f>
        <v>6307</v>
      </c>
      <c r="I65" s="254">
        <f ca="1">IF(ROWS($1:52)&gt;COUNT(Dong),"",OFFSET(TH!J$1,SMALL(Dong,ROWS($1:52)),))</f>
        <v>18500</v>
      </c>
      <c r="J65" s="258">
        <f t="shared" ca="1" si="4"/>
        <v>116679500</v>
      </c>
      <c r="K65" s="255"/>
      <c r="L65" s="256"/>
      <c r="M65" s="236"/>
      <c r="N65" s="236"/>
      <c r="O65" s="236"/>
      <c r="P65" s="236"/>
      <c r="Q65" s="236"/>
      <c r="R65" s="236"/>
      <c r="S65" s="236"/>
      <c r="T65" s="236"/>
      <c r="U65" s="236"/>
      <c r="V65" s="236"/>
      <c r="W65" s="236"/>
      <c r="X65" s="236"/>
      <c r="Y65" s="236"/>
      <c r="Z65" s="236"/>
      <c r="AA65" s="236"/>
      <c r="AB65" s="236"/>
      <c r="AC65" s="236"/>
      <c r="AD65" s="236"/>
      <c r="AE65" s="236"/>
      <c r="AF65" s="236"/>
      <c r="AG65" s="236"/>
      <c r="AH65" s="236"/>
      <c r="AI65" s="236"/>
      <c r="AJ65" s="236"/>
      <c r="AK65" s="236"/>
      <c r="AL65" s="236"/>
      <c r="AM65" s="236"/>
      <c r="AN65" s="236"/>
      <c r="AO65" s="236"/>
      <c r="AP65" s="236"/>
      <c r="AQ65" s="236"/>
      <c r="AR65" s="236"/>
      <c r="AS65" s="236"/>
      <c r="AT65" s="236"/>
      <c r="AU65" s="236"/>
      <c r="AV65" s="236"/>
      <c r="AW65" s="236"/>
      <c r="AX65" s="236"/>
      <c r="AY65" s="236"/>
      <c r="AZ65" s="236"/>
      <c r="BA65" s="236"/>
      <c r="BB65" s="236"/>
      <c r="BC65" s="236"/>
      <c r="BD65" s="236"/>
      <c r="BE65" s="236"/>
      <c r="BF65" s="236"/>
      <c r="BG65" s="236"/>
      <c r="BH65" s="236"/>
      <c r="BI65" s="236"/>
      <c r="BJ65" s="236"/>
      <c r="BK65" s="236"/>
      <c r="BL65" s="236"/>
      <c r="BM65" s="236"/>
      <c r="BN65" s="236"/>
      <c r="BO65" s="236"/>
      <c r="BP65" s="236"/>
      <c r="BQ65" s="236"/>
      <c r="BR65" s="236"/>
      <c r="BS65" s="236"/>
      <c r="BT65" s="236"/>
      <c r="BU65" s="236"/>
      <c r="BV65" s="236"/>
      <c r="BW65" s="236"/>
      <c r="BX65" s="236"/>
      <c r="BY65" s="236"/>
      <c r="BZ65" s="236"/>
      <c r="CA65" s="236"/>
      <c r="CB65" s="236"/>
      <c r="CC65" s="236"/>
      <c r="CD65" s="236"/>
      <c r="CE65" s="236"/>
      <c r="CF65" s="236"/>
      <c r="CG65" s="236"/>
    </row>
    <row r="66" spans="1:85" s="257" customFormat="1" ht="21.75" customHeight="1">
      <c r="A66" s="70" t="str">
        <f ca="1">IF(ROWS($1:53)&gt;COUNT(Dong),"",OFFSET(TH!E$1,SMALL(Dong,ROWS($1:53)),))</f>
        <v/>
      </c>
      <c r="B66" s="273" t="str">
        <f ca="1">IF(ROWS($1:53)&gt;COUNT(Dong),"",OFFSET(TH!G$1,SMALL(Dong,ROWS($1:53)),))</f>
        <v/>
      </c>
      <c r="C66" s="251" t="str">
        <f t="shared" ca="1" si="0"/>
        <v/>
      </c>
      <c r="D66" s="251" t="str">
        <f ca="1">IF(ROWS($1:53)&gt;COUNT(Dong),"",OFFSET(TH!D$1,SMALL(Dong,ROWS($1:53)),))</f>
        <v/>
      </c>
      <c r="E66" s="252" t="str">
        <f t="shared" ca="1" si="1"/>
        <v/>
      </c>
      <c r="F66" s="252" t="str">
        <f t="shared" ca="1" si="2"/>
        <v/>
      </c>
      <c r="G66" s="253" t="str">
        <f ca="1">IF(ROWS($1:53)&gt;COUNT(Dong),"",OFFSET(TH!F$1,SMALL(Dong,ROWS($1:53)),))</f>
        <v/>
      </c>
      <c r="H66" s="254" t="str">
        <f ca="1">IF(ROWS($1:53)&gt;COUNT(Dong),"",OFFSET(TH!K$1,SMALL(Dong,ROWS($1:53)),))</f>
        <v/>
      </c>
      <c r="I66" s="254" t="str">
        <f ca="1">IF(ROWS($1:53)&gt;COUNT(Dong),"",OFFSET(TH!J$1,SMALL(Dong,ROWS($1:53)),))</f>
        <v/>
      </c>
      <c r="J66" s="258">
        <f t="shared" ref="J66" ca="1" si="5">IF(B66&lt;&gt;"",H66*I66,0)</f>
        <v>0</v>
      </c>
      <c r="K66" s="255"/>
      <c r="L66" s="256"/>
      <c r="M66" s="236"/>
      <c r="N66" s="236"/>
      <c r="O66" s="236"/>
      <c r="P66" s="236"/>
      <c r="Q66" s="236"/>
      <c r="R66" s="236"/>
      <c r="S66" s="236"/>
      <c r="T66" s="236"/>
      <c r="U66" s="236"/>
      <c r="V66" s="236"/>
      <c r="W66" s="236"/>
      <c r="X66" s="236"/>
      <c r="Y66" s="236"/>
      <c r="Z66" s="236"/>
      <c r="AA66" s="236"/>
      <c r="AB66" s="236"/>
      <c r="AC66" s="236"/>
      <c r="AD66" s="236"/>
      <c r="AE66" s="236"/>
      <c r="AF66" s="236"/>
      <c r="AG66" s="236"/>
      <c r="AH66" s="236"/>
      <c r="AI66" s="236"/>
      <c r="AJ66" s="236"/>
      <c r="AK66" s="236"/>
      <c r="AL66" s="236"/>
      <c r="AM66" s="236"/>
      <c r="AN66" s="236"/>
      <c r="AO66" s="236"/>
      <c r="AP66" s="236"/>
      <c r="AQ66" s="236"/>
      <c r="AR66" s="236"/>
      <c r="AS66" s="236"/>
      <c r="AT66" s="236"/>
      <c r="AU66" s="236"/>
      <c r="AV66" s="236"/>
      <c r="AW66" s="236"/>
      <c r="AX66" s="236"/>
      <c r="AY66" s="236"/>
      <c r="AZ66" s="236"/>
      <c r="BA66" s="236"/>
      <c r="BB66" s="236"/>
      <c r="BC66" s="236"/>
      <c r="BD66" s="236"/>
      <c r="BE66" s="236"/>
      <c r="BF66" s="236"/>
      <c r="BG66" s="236"/>
      <c r="BH66" s="236"/>
      <c r="BI66" s="236"/>
      <c r="BJ66" s="236"/>
      <c r="BK66" s="236"/>
      <c r="BL66" s="236"/>
      <c r="BM66" s="236"/>
      <c r="BN66" s="236"/>
      <c r="BO66" s="236"/>
      <c r="BP66" s="236"/>
      <c r="BQ66" s="236"/>
      <c r="BR66" s="236"/>
      <c r="BS66" s="236"/>
      <c r="BT66" s="236"/>
      <c r="BU66" s="236"/>
      <c r="BV66" s="236"/>
      <c r="BW66" s="236"/>
      <c r="BX66" s="236"/>
      <c r="BY66" s="236"/>
      <c r="BZ66" s="236"/>
      <c r="CA66" s="236"/>
      <c r="CB66" s="236"/>
      <c r="CC66" s="236"/>
      <c r="CD66" s="236"/>
      <c r="CE66" s="236"/>
      <c r="CF66" s="236"/>
      <c r="CG66" s="236"/>
    </row>
    <row r="67" spans="1:85" ht="24" customHeight="1">
      <c r="A67" s="237" t="s">
        <v>321</v>
      </c>
      <c r="E67" s="259">
        <f ca="1">SUBTOTAL(9,J14:J66)</f>
        <v>5708732500</v>
      </c>
      <c r="F67" s="259"/>
      <c r="J67" s="443"/>
      <c r="N67" s="446"/>
    </row>
    <row r="68" spans="1:85">
      <c r="E68" s="260"/>
      <c r="F68" s="239"/>
      <c r="J68" s="261" t="str">
        <f xml:space="preserve"> IF(OR($M$11=4,$M$11=6,$M$11=9,$M$11=11),"Ngày  30  tháng  "&amp;$M$11&amp;"  năm 2015",IF(OR($M$11=1,$M$11=3,$M$11=5,$M$11=7,$M$11=8,$M$11=10,$M$11=12),"Ngày  31  tháng  "&amp;$M$11&amp;"  năm 2015","Ngày  29  tháng  "&amp;$M$11&amp;"  năm 2015"))</f>
        <v>Ngày  31  tháng  12  năm 2015</v>
      </c>
      <c r="K68" s="262"/>
    </row>
    <row r="69" spans="1:85">
      <c r="B69" s="263" t="s">
        <v>322</v>
      </c>
      <c r="C69" s="263"/>
      <c r="D69" s="263"/>
      <c r="J69" s="264" t="s">
        <v>323</v>
      </c>
    </row>
    <row r="70" spans="1:85">
      <c r="B70" s="265" t="s">
        <v>324</v>
      </c>
      <c r="C70" s="265"/>
      <c r="D70" s="265"/>
      <c r="F70" s="266"/>
      <c r="J70" s="267" t="s">
        <v>325</v>
      </c>
    </row>
    <row r="71" spans="1:85">
      <c r="B71" s="265"/>
      <c r="C71" s="265"/>
      <c r="D71" s="265"/>
      <c r="F71" s="266"/>
      <c r="I71" s="267"/>
    </row>
    <row r="72" spans="1:85">
      <c r="B72" s="265"/>
      <c r="C72" s="265"/>
      <c r="D72" s="265"/>
      <c r="F72" s="266"/>
      <c r="I72" s="267"/>
    </row>
    <row r="73" spans="1:85">
      <c r="B73" s="260"/>
      <c r="F73" s="260"/>
      <c r="J73" s="40"/>
    </row>
    <row r="74" spans="1:85" ht="36.75" customHeight="1">
      <c r="B74" s="268"/>
      <c r="C74" s="268"/>
      <c r="D74" s="268"/>
      <c r="E74" s="269"/>
      <c r="H74" s="544"/>
      <c r="I74" s="544"/>
      <c r="J74" s="544"/>
    </row>
    <row r="75" spans="1:85">
      <c r="B75" s="265" t="s">
        <v>413</v>
      </c>
      <c r="J75" s="265" t="s">
        <v>414</v>
      </c>
    </row>
    <row r="76" spans="1:85">
      <c r="A76" s="270" t="s">
        <v>326</v>
      </c>
    </row>
    <row r="77" spans="1:85" ht="33.75" customHeight="1">
      <c r="A77" s="545" t="s">
        <v>327</v>
      </c>
      <c r="B77" s="546"/>
      <c r="C77" s="546"/>
      <c r="D77" s="546"/>
      <c r="E77" s="546"/>
      <c r="F77" s="546"/>
      <c r="G77" s="546"/>
      <c r="H77" s="546"/>
      <c r="I77" s="546"/>
      <c r="J77" s="546"/>
      <c r="K77" s="546"/>
    </row>
    <row r="78" spans="1:85" ht="33.75" customHeight="1">
      <c r="A78" s="545" t="s">
        <v>328</v>
      </c>
      <c r="B78" s="545"/>
      <c r="C78" s="545"/>
      <c r="D78" s="545"/>
      <c r="E78" s="545"/>
      <c r="F78" s="545"/>
      <c r="G78" s="545"/>
      <c r="H78" s="545"/>
      <c r="I78" s="545"/>
      <c r="J78" s="545"/>
      <c r="K78" s="545"/>
    </row>
  </sheetData>
  <autoFilter ref="A13:CH70"/>
  <mergeCells count="10">
    <mergeCell ref="H74:J74"/>
    <mergeCell ref="A77:K77"/>
    <mergeCell ref="A78:K78"/>
    <mergeCell ref="A1:I3"/>
    <mergeCell ref="J1:K4"/>
    <mergeCell ref="A4:I4"/>
    <mergeCell ref="A11:A12"/>
    <mergeCell ref="B11:F11"/>
    <mergeCell ref="G11:J11"/>
    <mergeCell ref="K11:K12"/>
  </mergeCells>
  <phoneticPr fontId="50" type="noConversion"/>
  <conditionalFormatting sqref="E5:G6 H6">
    <cfRule type="cellIs" dxfId="0" priority="1" stopIfTrue="1" operator="equal">
      <formula>"Döõ lieäu sai"</formula>
    </cfRule>
  </conditionalFormatting>
  <dataValidations count="1">
    <dataValidation type="list" allowBlank="1" showInputMessage="1" showErrorMessage="1" sqref="M11">
      <formula1>"1,2,3,4,5,6,7,8,9,10,11,12"</formula1>
    </dataValidation>
  </dataValidations>
  <printOptions horizontalCentered="1"/>
  <pageMargins left="0.5" right="0.25" top="0.25" bottom="0.25" header="0" footer="0.25"/>
  <pageSetup paperSize="9" scale="80" orientation="portrait" r:id="rId1"/>
  <headerFooter alignWithMargins="0">
    <oddFooter>&amp;RTrang &amp;P/&amp;N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0"/>
  </sheetPr>
  <dimension ref="A1:Y322"/>
  <sheetViews>
    <sheetView workbookViewId="0">
      <pane xSplit="3" ySplit="1" topLeftCell="D2" activePane="bottomRight" state="frozen"/>
      <selection activeCell="Q126" sqref="Q126"/>
      <selection pane="topRight" activeCell="Q126" sqref="Q126"/>
      <selection pane="bottomLeft" activeCell="Q126" sqref="Q126"/>
      <selection pane="bottomRight" activeCell="P279" sqref="P279"/>
    </sheetView>
  </sheetViews>
  <sheetFormatPr defaultColWidth="10.28515625" defaultRowHeight="12.75"/>
  <cols>
    <col min="1" max="1" width="4.7109375" style="288" customWidth="1"/>
    <col min="2" max="2" width="23" style="288" customWidth="1"/>
    <col min="3" max="3" width="6.7109375" style="288" customWidth="1"/>
    <col min="4" max="5" width="8.85546875" style="288" customWidth="1"/>
    <col min="6" max="6" width="9.140625" style="288" customWidth="1"/>
    <col min="7" max="7" width="14.28515625" style="288" customWidth="1"/>
    <col min="8" max="11" width="13.7109375" style="288" customWidth="1"/>
    <col min="12" max="12" width="11.85546875" style="288" customWidth="1"/>
    <col min="13" max="13" width="13.7109375" style="288" hidden="1" customWidth="1"/>
    <col min="14" max="14" width="14.5703125" style="288" customWidth="1"/>
    <col min="15" max="15" width="7.28515625" style="288" customWidth="1"/>
    <col min="16" max="16" width="7.7109375" style="288" customWidth="1"/>
    <col min="17" max="17" width="3.42578125" style="289" customWidth="1"/>
    <col min="18" max="18" width="23" style="288" customWidth="1"/>
    <col min="19" max="19" width="10.140625" style="290" customWidth="1"/>
    <col min="20" max="21" width="7.5703125" style="291" customWidth="1"/>
    <col min="22" max="22" width="12.140625" style="288" customWidth="1"/>
    <col min="23" max="23" width="7.7109375" style="288" customWidth="1"/>
    <col min="24" max="16384" width="10.28515625" style="288"/>
  </cols>
  <sheetData>
    <row r="1" spans="1:25">
      <c r="B1" s="288">
        <v>1</v>
      </c>
      <c r="C1" s="288">
        <v>2</v>
      </c>
      <c r="D1" s="288">
        <v>3</v>
      </c>
      <c r="E1" s="288">
        <v>4</v>
      </c>
      <c r="F1" s="288">
        <v>5</v>
      </c>
      <c r="G1" s="288">
        <v>6</v>
      </c>
      <c r="H1" s="288">
        <v>7</v>
      </c>
      <c r="I1" s="288">
        <v>8</v>
      </c>
      <c r="J1" s="288">
        <v>9</v>
      </c>
      <c r="K1" s="288">
        <v>10</v>
      </c>
      <c r="L1" s="288">
        <v>11</v>
      </c>
      <c r="M1" s="288">
        <v>12</v>
      </c>
      <c r="N1" s="288">
        <v>13</v>
      </c>
      <c r="O1" s="288">
        <v>14</v>
      </c>
      <c r="P1" s="288">
        <v>15</v>
      </c>
    </row>
    <row r="2" spans="1:25" ht="18" customHeight="1">
      <c r="A2" s="292" t="s">
        <v>333</v>
      </c>
      <c r="B2" s="292"/>
      <c r="C2" s="293"/>
      <c r="D2" s="294"/>
      <c r="E2" s="294"/>
      <c r="F2" s="294"/>
      <c r="G2" s="291"/>
      <c r="H2" s="291"/>
      <c r="I2" s="291"/>
      <c r="J2" s="291"/>
      <c r="K2" s="291"/>
      <c r="L2" s="295"/>
      <c r="M2" s="291"/>
      <c r="N2" s="291"/>
      <c r="O2" s="296"/>
      <c r="P2" s="291"/>
      <c r="Q2" s="297"/>
      <c r="R2" s="291"/>
      <c r="S2" s="298"/>
    </row>
    <row r="3" spans="1:25" ht="18.75" customHeight="1">
      <c r="A3" s="299" t="s">
        <v>334</v>
      </c>
      <c r="B3" s="299"/>
      <c r="C3" s="299"/>
      <c r="D3" s="299"/>
      <c r="E3" s="299"/>
      <c r="F3" s="299"/>
      <c r="G3" s="299"/>
      <c r="H3" s="299"/>
      <c r="I3" s="299"/>
      <c r="J3" s="299"/>
      <c r="K3" s="299"/>
      <c r="L3" s="299"/>
      <c r="M3" s="299"/>
      <c r="N3" s="299"/>
      <c r="O3" s="299"/>
      <c r="P3" s="299"/>
      <c r="Q3" s="297"/>
      <c r="R3" s="291"/>
      <c r="S3" s="298"/>
    </row>
    <row r="4" spans="1:25" ht="18.75" customHeight="1">
      <c r="A4" s="300"/>
      <c r="B4" s="300"/>
      <c r="C4" s="301"/>
      <c r="D4" s="300"/>
      <c r="E4" s="300"/>
      <c r="F4" s="300"/>
      <c r="G4" s="300"/>
      <c r="H4" s="300"/>
      <c r="I4" s="300"/>
      <c r="J4" s="300"/>
      <c r="K4" s="300"/>
      <c r="L4" s="299"/>
      <c r="M4" s="300"/>
      <c r="N4" s="300"/>
      <c r="O4" s="302"/>
      <c r="P4" s="300"/>
      <c r="Q4" s="297"/>
      <c r="R4" s="291"/>
      <c r="S4" s="298"/>
    </row>
    <row r="5" spans="1:25" ht="12.75" customHeight="1">
      <c r="A5" s="303"/>
      <c r="B5" s="303"/>
      <c r="C5" s="304"/>
      <c r="D5" s="303"/>
      <c r="E5" s="303"/>
      <c r="F5" s="303"/>
      <c r="G5" s="303"/>
      <c r="H5" s="303"/>
      <c r="I5" s="303"/>
      <c r="J5" s="303"/>
      <c r="K5" s="303"/>
      <c r="L5" s="303"/>
      <c r="M5" s="303"/>
      <c r="N5" s="303"/>
      <c r="O5" s="305"/>
      <c r="P5" s="303"/>
      <c r="Q5" s="297"/>
      <c r="R5" s="306"/>
      <c r="S5" s="563"/>
      <c r="T5" s="563"/>
      <c r="U5" s="307"/>
      <c r="V5" s="563"/>
      <c r="W5" s="563"/>
      <c r="X5" s="306"/>
      <c r="Y5" s="306"/>
    </row>
    <row r="6" spans="1:25" s="314" customFormat="1" ht="30.75" customHeight="1">
      <c r="A6" s="308" t="s">
        <v>30</v>
      </c>
      <c r="B6" s="308" t="s">
        <v>335</v>
      </c>
      <c r="C6" s="309" t="s">
        <v>336</v>
      </c>
      <c r="D6" s="310" t="s">
        <v>337</v>
      </c>
      <c r="E6" s="310" t="s">
        <v>347</v>
      </c>
      <c r="F6" s="310" t="s">
        <v>338</v>
      </c>
      <c r="G6" s="310" t="s">
        <v>339</v>
      </c>
      <c r="H6" s="310" t="s">
        <v>340</v>
      </c>
      <c r="I6" s="310" t="s">
        <v>341</v>
      </c>
      <c r="J6" s="310" t="s">
        <v>342</v>
      </c>
      <c r="K6" s="311" t="s">
        <v>343</v>
      </c>
      <c r="L6" s="310" t="s">
        <v>344</v>
      </c>
      <c r="M6" s="311" t="s">
        <v>345</v>
      </c>
      <c r="N6" s="310" t="s">
        <v>346</v>
      </c>
      <c r="O6" s="312" t="s">
        <v>347</v>
      </c>
      <c r="P6" s="310" t="s">
        <v>348</v>
      </c>
      <c r="Q6" s="313"/>
      <c r="R6" s="308" t="s">
        <v>335</v>
      </c>
      <c r="S6" s="310" t="s">
        <v>80</v>
      </c>
      <c r="T6" s="310" t="s">
        <v>64</v>
      </c>
      <c r="U6" s="310" t="s">
        <v>338</v>
      </c>
      <c r="V6" s="310" t="s">
        <v>111</v>
      </c>
      <c r="W6" s="308" t="s">
        <v>111</v>
      </c>
    </row>
    <row r="7" spans="1:25">
      <c r="A7" s="315">
        <f>IF(B7&lt;&gt;"",ROW()-(ROW()-1),"")</f>
        <v>1</v>
      </c>
      <c r="B7" s="316" t="s">
        <v>113</v>
      </c>
      <c r="C7" s="317">
        <v>8</v>
      </c>
      <c r="D7" s="69">
        <f>ROUND(C7*O7,0)</f>
        <v>40704</v>
      </c>
      <c r="E7" s="69"/>
      <c r="F7" s="69">
        <v>15000</v>
      </c>
      <c r="G7" s="318">
        <f>D7*F7</f>
        <v>610560000</v>
      </c>
      <c r="H7" s="69">
        <f>H$11/$D$11*$D7</f>
        <v>5995867.2122806031</v>
      </c>
      <c r="I7" s="69">
        <f>I$11/$D$11*$D7</f>
        <v>27514620.864902575</v>
      </c>
      <c r="J7" s="69">
        <f>J$11/$D$11*$D7</f>
        <v>12947779.72193153</v>
      </c>
      <c r="K7" s="69">
        <f>K$11/$D$11*$D7</f>
        <v>25341228.685503561</v>
      </c>
      <c r="L7" s="69">
        <f>SUM(V23:V25)</f>
        <v>20623400</v>
      </c>
      <c r="M7" s="69"/>
      <c r="N7" s="318">
        <f>G7+H7+I7+J7+L7+K7+M7</f>
        <v>702982896.48461843</v>
      </c>
      <c r="O7" s="69">
        <f>2544+2544</f>
        <v>5088</v>
      </c>
      <c r="P7" s="69">
        <f>IF(O7&lt;&gt;"",N7/O7,"")</f>
        <v>138164.87745373789</v>
      </c>
      <c r="Q7" s="319"/>
      <c r="R7" s="320" t="s">
        <v>39</v>
      </c>
      <c r="S7" s="321">
        <v>42006</v>
      </c>
      <c r="T7" s="322">
        <v>250</v>
      </c>
      <c r="U7" s="323">
        <v>32728</v>
      </c>
      <c r="V7" s="318">
        <f t="shared" ref="V7:V20" si="0">T7*U7</f>
        <v>8182000</v>
      </c>
      <c r="W7" s="324"/>
    </row>
    <row r="8" spans="1:25">
      <c r="A8" s="315">
        <f>IF(B8&lt;&gt;"",A7+1,"")</f>
        <v>2</v>
      </c>
      <c r="B8" s="316" t="s">
        <v>126</v>
      </c>
      <c r="C8" s="325">
        <v>4.5</v>
      </c>
      <c r="D8" s="69">
        <f>ROUND(C8*O8,0)</f>
        <v>82350</v>
      </c>
      <c r="E8" s="69"/>
      <c r="F8" s="69">
        <v>18000</v>
      </c>
      <c r="G8" s="318">
        <f>D8*F8</f>
        <v>1482300000</v>
      </c>
      <c r="H8" s="69">
        <f t="shared" ref="H8:K9" si="1">H$11/$D$11*$D8</f>
        <v>12130494.912817111</v>
      </c>
      <c r="I8" s="69">
        <f t="shared" si="1"/>
        <v>55666004.034609057</v>
      </c>
      <c r="J8" s="69">
        <f t="shared" si="1"/>
        <v>26195205.879055168</v>
      </c>
      <c r="K8" s="69">
        <f t="shared" si="1"/>
        <v>51268921.537225291</v>
      </c>
      <c r="L8" s="69">
        <f>V26</f>
        <v>6100000</v>
      </c>
      <c r="M8" s="69"/>
      <c r="N8" s="318">
        <f>G8+H8+I8+J8+L8+K8+M8+1</f>
        <v>1633660627.3637066</v>
      </c>
      <c r="O8" s="326">
        <v>18300</v>
      </c>
      <c r="P8" s="69">
        <f>IF(O8&lt;&gt;"",N8/O8,"")</f>
        <v>89271.072533535873</v>
      </c>
      <c r="Q8" s="319"/>
      <c r="R8" s="327" t="s">
        <v>49</v>
      </c>
      <c r="S8" s="321">
        <v>42006</v>
      </c>
      <c r="T8" s="322">
        <v>200</v>
      </c>
      <c r="U8" s="328">
        <v>46741.2</v>
      </c>
      <c r="V8" s="318">
        <f t="shared" si="0"/>
        <v>9348240</v>
      </c>
      <c r="W8" s="329"/>
    </row>
    <row r="9" spans="1:25">
      <c r="A9" s="315">
        <f>IF(B9&lt;&gt;"",A8+1,"")</f>
        <v>3</v>
      </c>
      <c r="B9" s="316" t="s">
        <v>114</v>
      </c>
      <c r="C9" s="325">
        <v>5</v>
      </c>
      <c r="D9" s="69">
        <f>ROUND(C9*O9,0)</f>
        <v>117750</v>
      </c>
      <c r="E9" s="69"/>
      <c r="F9" s="69">
        <v>26500</v>
      </c>
      <c r="G9" s="318">
        <f>D9*F9</f>
        <v>3120375000</v>
      </c>
      <c r="H9" s="69">
        <f t="shared" si="1"/>
        <v>17345061.031988036</v>
      </c>
      <c r="I9" s="69">
        <f t="shared" si="1"/>
        <v>79595288.100488365</v>
      </c>
      <c r="J9" s="69">
        <f t="shared" si="1"/>
        <v>37455804.399013311</v>
      </c>
      <c r="K9" s="69">
        <f t="shared" si="1"/>
        <v>73308020.777271137</v>
      </c>
      <c r="L9" s="69">
        <f>V27</f>
        <v>26376000</v>
      </c>
      <c r="M9" s="69"/>
      <c r="N9" s="318">
        <f>G9+H9+I9+J9+L9+K9+M9</f>
        <v>3354455174.3087611</v>
      </c>
      <c r="O9" s="326">
        <v>23550</v>
      </c>
      <c r="P9" s="69">
        <f>IF(O9&lt;&gt;"",N9/O9,"")</f>
        <v>142439.71016173082</v>
      </c>
      <c r="Q9" s="319"/>
      <c r="R9" s="327" t="s">
        <v>40</v>
      </c>
      <c r="S9" s="321">
        <v>42006</v>
      </c>
      <c r="T9" s="322">
        <v>200</v>
      </c>
      <c r="U9" s="328">
        <v>11666.666999999999</v>
      </c>
      <c r="V9" s="318">
        <f t="shared" si="0"/>
        <v>2333333.4</v>
      </c>
      <c r="W9" s="329"/>
    </row>
    <row r="10" spans="1:25" s="339" customFormat="1">
      <c r="A10" s="315" t="str">
        <f>IF(B10&lt;&gt;"",#REF!+1,"")</f>
        <v/>
      </c>
      <c r="B10" s="330"/>
      <c r="C10" s="331"/>
      <c r="D10" s="69"/>
      <c r="E10" s="445"/>
      <c r="F10" s="332"/>
      <c r="G10" s="333"/>
      <c r="H10" s="332"/>
      <c r="I10" s="69"/>
      <c r="J10" s="334"/>
      <c r="K10" s="332"/>
      <c r="L10" s="335"/>
      <c r="M10" s="332"/>
      <c r="N10" s="336"/>
      <c r="O10" s="337"/>
      <c r="P10" s="69" t="str">
        <f>IF(B10&lt;&gt;"",N10/O10,"")</f>
        <v/>
      </c>
      <c r="Q10" s="338"/>
      <c r="R10" s="327" t="s">
        <v>66</v>
      </c>
      <c r="S10" s="321">
        <v>42006</v>
      </c>
      <c r="T10" s="322">
        <v>150</v>
      </c>
      <c r="U10" s="328">
        <v>23616.16</v>
      </c>
      <c r="V10" s="318">
        <f t="shared" si="0"/>
        <v>3542424</v>
      </c>
      <c r="W10" s="329"/>
    </row>
    <row r="11" spans="1:25" s="292" customFormat="1">
      <c r="A11" s="340"/>
      <c r="B11" s="341" t="s">
        <v>349</v>
      </c>
      <c r="C11" s="342"/>
      <c r="D11" s="343">
        <f>SUM(D7:D10)</f>
        <v>240804</v>
      </c>
      <c r="E11" s="343"/>
      <c r="F11" s="343"/>
      <c r="G11" s="343">
        <f>SUM(G7:G10)</f>
        <v>5213235000</v>
      </c>
      <c r="H11" s="344">
        <f>V22</f>
        <v>35471423.157085747</v>
      </c>
      <c r="I11" s="344">
        <v>162775913</v>
      </c>
      <c r="J11" s="344">
        <v>76598790</v>
      </c>
      <c r="K11" s="344">
        <v>149918171</v>
      </c>
      <c r="L11" s="343">
        <f>ROUND(SUM(L7:L10),0)</f>
        <v>53099400</v>
      </c>
      <c r="M11" s="343">
        <f>ROUND(SUM(M7:M10),0)</f>
        <v>0</v>
      </c>
      <c r="N11" s="343">
        <f>ROUND(SUM(N7:N10),0)</f>
        <v>5691098698</v>
      </c>
      <c r="O11" s="343">
        <f>ROUND(SUM(O7:O10),0)</f>
        <v>46938</v>
      </c>
      <c r="P11" s="343"/>
      <c r="Q11" s="297"/>
      <c r="R11" s="327" t="s">
        <v>41</v>
      </c>
      <c r="S11" s="321">
        <v>42006</v>
      </c>
      <c r="T11" s="322">
        <v>250</v>
      </c>
      <c r="U11" s="328">
        <v>3500</v>
      </c>
      <c r="V11" s="318">
        <f t="shared" si="0"/>
        <v>875000</v>
      </c>
      <c r="W11" s="329"/>
    </row>
    <row r="12" spans="1:25" s="292" customFormat="1">
      <c r="A12" s="345"/>
      <c r="B12" s="346"/>
      <c r="C12" s="301"/>
      <c r="D12" s="347"/>
      <c r="E12" s="347"/>
      <c r="F12" s="347"/>
      <c r="G12" s="347"/>
      <c r="H12" s="299"/>
      <c r="I12" s="347"/>
      <c r="J12" s="347"/>
      <c r="K12" s="347"/>
      <c r="L12" s="347"/>
      <c r="M12" s="347"/>
      <c r="N12" s="347"/>
      <c r="O12" s="347"/>
      <c r="P12" s="347"/>
      <c r="Q12" s="297"/>
      <c r="R12" s="327" t="s">
        <v>108</v>
      </c>
      <c r="S12" s="321">
        <v>42006</v>
      </c>
      <c r="T12" s="322">
        <v>450</v>
      </c>
      <c r="U12" s="328">
        <v>3000</v>
      </c>
      <c r="V12" s="318">
        <f t="shared" si="0"/>
        <v>1350000</v>
      </c>
      <c r="W12" s="329"/>
    </row>
    <row r="13" spans="1:25" s="292" customFormat="1">
      <c r="A13" s="345"/>
      <c r="B13" s="346"/>
      <c r="C13" s="301"/>
      <c r="D13" s="347"/>
      <c r="E13" s="347"/>
      <c r="F13" s="347"/>
      <c r="G13" s="348"/>
      <c r="H13" s="299"/>
      <c r="I13" s="347"/>
      <c r="J13" s="347"/>
      <c r="K13" s="347"/>
      <c r="L13" s="347"/>
      <c r="M13" s="347"/>
      <c r="N13" s="347"/>
      <c r="O13" s="347"/>
      <c r="P13" s="347"/>
      <c r="Q13" s="297"/>
      <c r="R13" s="327" t="s">
        <v>109</v>
      </c>
      <c r="S13" s="321">
        <v>42006</v>
      </c>
      <c r="T13" s="322">
        <v>160</v>
      </c>
      <c r="U13" s="328">
        <v>5500</v>
      </c>
      <c r="V13" s="318">
        <f t="shared" si="0"/>
        <v>880000</v>
      </c>
      <c r="W13" s="329"/>
    </row>
    <row r="14" spans="1:25" s="292" customFormat="1">
      <c r="A14" s="345"/>
      <c r="B14" s="346"/>
      <c r="C14" s="301"/>
      <c r="D14" s="347"/>
      <c r="E14" s="347"/>
      <c r="F14" s="347"/>
      <c r="G14" s="348"/>
      <c r="H14" s="299"/>
      <c r="I14" s="347"/>
      <c r="J14" s="347"/>
      <c r="K14" s="347"/>
      <c r="L14" s="347"/>
      <c r="M14" s="347"/>
      <c r="N14" s="347"/>
      <c r="O14" s="347"/>
      <c r="P14" s="347"/>
      <c r="Q14" s="297"/>
      <c r="R14" s="327" t="s">
        <v>110</v>
      </c>
      <c r="S14" s="321">
        <v>42006</v>
      </c>
      <c r="T14" s="349">
        <v>590</v>
      </c>
      <c r="U14" s="349">
        <v>8465.3438901077934</v>
      </c>
      <c r="V14" s="318">
        <f t="shared" si="0"/>
        <v>4994552.8951635985</v>
      </c>
      <c r="W14" s="329"/>
    </row>
    <row r="15" spans="1:25" s="292" customFormat="1">
      <c r="A15" s="345"/>
      <c r="B15" s="346"/>
      <c r="C15" s="301"/>
      <c r="D15" s="347"/>
      <c r="E15" s="347"/>
      <c r="F15" s="347"/>
      <c r="G15" s="348"/>
      <c r="H15" s="299"/>
      <c r="I15" s="347"/>
      <c r="J15" s="347"/>
      <c r="K15" s="347"/>
      <c r="L15" s="347"/>
      <c r="M15" s="347"/>
      <c r="N15" s="347"/>
      <c r="O15" s="347"/>
      <c r="P15" s="347"/>
      <c r="Q15" s="297"/>
      <c r="R15" s="327" t="s">
        <v>38</v>
      </c>
      <c r="S15" s="321">
        <v>42009</v>
      </c>
      <c r="T15" s="322">
        <v>215</v>
      </c>
      <c r="U15" s="328">
        <v>8700</v>
      </c>
      <c r="V15" s="318">
        <f t="shared" si="0"/>
        <v>1870500</v>
      </c>
      <c r="W15" s="329"/>
    </row>
    <row r="16" spans="1:25" s="292" customFormat="1">
      <c r="A16" s="345"/>
      <c r="B16" s="346"/>
      <c r="C16" s="301"/>
      <c r="D16" s="347"/>
      <c r="E16" s="347"/>
      <c r="F16" s="347"/>
      <c r="G16" s="348"/>
      <c r="H16" s="299"/>
      <c r="I16" s="347"/>
      <c r="J16" s="347"/>
      <c r="K16" s="347"/>
      <c r="L16" s="347"/>
      <c r="M16" s="347"/>
      <c r="N16" s="347"/>
      <c r="O16" s="347"/>
      <c r="P16" s="347"/>
      <c r="Q16" s="297"/>
      <c r="R16" s="327" t="s">
        <v>128</v>
      </c>
      <c r="S16" s="321"/>
      <c r="T16" s="322"/>
      <c r="U16" s="328"/>
      <c r="V16" s="318">
        <f t="shared" si="0"/>
        <v>0</v>
      </c>
      <c r="W16" s="329"/>
    </row>
    <row r="17" spans="1:24" s="292" customFormat="1">
      <c r="A17" s="345"/>
      <c r="B17" s="346"/>
      <c r="C17" s="301"/>
      <c r="D17" s="347"/>
      <c r="E17" s="347"/>
      <c r="F17" s="347"/>
      <c r="G17" s="348"/>
      <c r="H17" s="299"/>
      <c r="I17" s="347"/>
      <c r="J17" s="347"/>
      <c r="K17" s="347"/>
      <c r="L17" s="347"/>
      <c r="M17" s="347"/>
      <c r="N17" s="347"/>
      <c r="O17" s="347"/>
      <c r="P17" s="347"/>
      <c r="Q17" s="297"/>
      <c r="R17" s="327" t="s">
        <v>59</v>
      </c>
      <c r="S17" s="321"/>
      <c r="T17" s="322"/>
      <c r="U17" s="328"/>
      <c r="V17" s="318">
        <f t="shared" si="0"/>
        <v>0</v>
      </c>
      <c r="W17" s="329"/>
    </row>
    <row r="18" spans="1:24" s="292" customFormat="1">
      <c r="A18" s="345"/>
      <c r="B18" s="346"/>
      <c r="C18" s="301"/>
      <c r="D18" s="347"/>
      <c r="E18" s="347"/>
      <c r="F18" s="347"/>
      <c r="G18" s="348"/>
      <c r="H18" s="299"/>
      <c r="I18" s="347"/>
      <c r="J18" s="347"/>
      <c r="K18" s="347"/>
      <c r="L18" s="347"/>
      <c r="M18" s="347"/>
      <c r="N18" s="347"/>
      <c r="O18" s="347"/>
      <c r="P18" s="347"/>
      <c r="Q18" s="297"/>
      <c r="R18" s="327" t="s">
        <v>123</v>
      </c>
      <c r="S18" s="321"/>
      <c r="T18" s="322"/>
      <c r="U18" s="328"/>
      <c r="V18" s="318">
        <f t="shared" si="0"/>
        <v>0</v>
      </c>
      <c r="W18" s="350"/>
    </row>
    <row r="19" spans="1:24" s="292" customFormat="1">
      <c r="A19" s="345"/>
      <c r="B19" s="346"/>
      <c r="C19" s="301"/>
      <c r="D19" s="347"/>
      <c r="E19" s="347"/>
      <c r="F19" s="347"/>
      <c r="G19" s="348"/>
      <c r="H19" s="299"/>
      <c r="I19" s="347"/>
      <c r="J19" s="347"/>
      <c r="K19" s="347"/>
      <c r="L19" s="347"/>
      <c r="M19" s="347"/>
      <c r="N19" s="347"/>
      <c r="O19" s="347"/>
      <c r="P19" s="347"/>
      <c r="Q19" s="297"/>
      <c r="R19" s="351" t="s">
        <v>54</v>
      </c>
      <c r="S19" s="321">
        <v>42009</v>
      </c>
      <c r="T19" s="322">
        <v>450</v>
      </c>
      <c r="U19" s="328">
        <v>323.05080427144196</v>
      </c>
      <c r="V19" s="318">
        <f t="shared" si="0"/>
        <v>145372.86192214888</v>
      </c>
      <c r="W19" s="350"/>
    </row>
    <row r="20" spans="1:24" s="292" customFormat="1">
      <c r="A20" s="345"/>
      <c r="B20" s="346"/>
      <c r="C20" s="301"/>
      <c r="D20" s="347"/>
      <c r="E20" s="347"/>
      <c r="F20" s="347"/>
      <c r="G20" s="348"/>
      <c r="H20" s="299"/>
      <c r="I20" s="347"/>
      <c r="J20" s="347"/>
      <c r="K20" s="347"/>
      <c r="L20" s="347"/>
      <c r="M20" s="347"/>
      <c r="N20" s="347"/>
      <c r="O20" s="347"/>
      <c r="P20" s="347"/>
      <c r="Q20" s="297"/>
      <c r="R20" s="327" t="s">
        <v>107</v>
      </c>
      <c r="S20" s="321">
        <v>42009</v>
      </c>
      <c r="T20" s="322">
        <v>130</v>
      </c>
      <c r="U20" s="328">
        <v>15000</v>
      </c>
      <c r="V20" s="318">
        <f t="shared" si="0"/>
        <v>1950000</v>
      </c>
      <c r="W20" s="350"/>
    </row>
    <row r="21" spans="1:24" s="292" customFormat="1">
      <c r="A21" s="345"/>
      <c r="B21" s="346"/>
      <c r="C21" s="301"/>
      <c r="D21" s="347"/>
      <c r="E21" s="347"/>
      <c r="F21" s="347"/>
      <c r="G21" s="348"/>
      <c r="H21" s="299"/>
      <c r="I21" s="347"/>
      <c r="J21" s="347"/>
      <c r="K21" s="347"/>
      <c r="L21" s="347"/>
      <c r="M21" s="347"/>
      <c r="N21" s="347"/>
      <c r="O21" s="347"/>
      <c r="P21" s="347"/>
      <c r="Q21" s="288"/>
      <c r="R21" s="352"/>
      <c r="S21" s="321"/>
      <c r="T21" s="353"/>
      <c r="U21" s="353"/>
      <c r="V21" s="353"/>
      <c r="W21" s="350"/>
    </row>
    <row r="22" spans="1:24" s="292" customFormat="1">
      <c r="A22" s="345"/>
      <c r="B22" s="346"/>
      <c r="C22" s="301"/>
      <c r="D22" s="347"/>
      <c r="E22" s="347"/>
      <c r="F22" s="347"/>
      <c r="G22" s="348"/>
      <c r="H22" s="299"/>
      <c r="I22" s="347"/>
      <c r="J22" s="347"/>
      <c r="K22" s="347"/>
      <c r="L22" s="347"/>
      <c r="M22" s="347"/>
      <c r="N22" s="347"/>
      <c r="O22" s="347"/>
      <c r="P22" s="347"/>
      <c r="Q22" s="288"/>
      <c r="R22" s="564"/>
      <c r="S22" s="564"/>
      <c r="T22" s="564"/>
      <c r="U22" s="354"/>
      <c r="V22" s="355">
        <f>SUM(V7:V21)</f>
        <v>35471423.157085747</v>
      </c>
      <c r="W22" s="355">
        <f>SUM(W7:W21)</f>
        <v>0</v>
      </c>
    </row>
    <row r="23" spans="1:24" s="292" customFormat="1">
      <c r="A23" s="345"/>
      <c r="B23" s="346"/>
      <c r="C23" s="301"/>
      <c r="D23" s="347"/>
      <c r="E23" s="347"/>
      <c r="F23" s="347"/>
      <c r="G23" s="347"/>
      <c r="H23" s="299"/>
      <c r="I23" s="347"/>
      <c r="J23" s="347"/>
      <c r="K23" s="347"/>
      <c r="L23" s="347"/>
      <c r="M23" s="347"/>
      <c r="N23" s="347"/>
      <c r="O23" s="347"/>
      <c r="P23" s="347"/>
      <c r="Q23" s="288"/>
      <c r="R23" s="356" t="s">
        <v>50</v>
      </c>
      <c r="S23" s="321">
        <v>42011</v>
      </c>
      <c r="T23" s="322">
        <v>1272</v>
      </c>
      <c r="U23" s="322">
        <v>5950</v>
      </c>
      <c r="V23" s="322">
        <f t="shared" ref="V23:V28" si="2">T23*U23</f>
        <v>7568400</v>
      </c>
      <c r="W23" s="324"/>
    </row>
    <row r="24" spans="1:24">
      <c r="G24" s="306"/>
      <c r="H24" s="357"/>
      <c r="I24" s="306"/>
      <c r="N24" s="358"/>
      <c r="O24" s="347"/>
      <c r="R24" s="359" t="s">
        <v>99</v>
      </c>
      <c r="S24" s="321">
        <v>42011</v>
      </c>
      <c r="T24" s="328">
        <v>50</v>
      </c>
      <c r="U24" s="328">
        <v>19100</v>
      </c>
      <c r="V24" s="322">
        <f t="shared" si="2"/>
        <v>955000</v>
      </c>
      <c r="W24" s="334"/>
    </row>
    <row r="25" spans="1:24">
      <c r="G25" s="306"/>
      <c r="H25" s="357"/>
      <c r="I25" s="306"/>
      <c r="N25" s="358"/>
      <c r="O25" s="347"/>
      <c r="R25" s="349" t="s">
        <v>100</v>
      </c>
      <c r="S25" s="321">
        <v>42011</v>
      </c>
      <c r="T25" s="328">
        <v>605</v>
      </c>
      <c r="U25" s="328">
        <v>20000</v>
      </c>
      <c r="V25" s="322">
        <f t="shared" si="2"/>
        <v>12100000</v>
      </c>
      <c r="W25" s="334"/>
    </row>
    <row r="26" spans="1:24">
      <c r="G26" s="306"/>
      <c r="H26" s="357"/>
      <c r="I26" s="306"/>
      <c r="N26" s="358"/>
      <c r="O26" s="347"/>
      <c r="R26" s="327" t="s">
        <v>60</v>
      </c>
      <c r="S26" s="321">
        <v>42032</v>
      </c>
      <c r="T26" s="328">
        <v>1220</v>
      </c>
      <c r="U26" s="328">
        <v>5000</v>
      </c>
      <c r="V26" s="322">
        <f t="shared" si="2"/>
        <v>6100000</v>
      </c>
      <c r="W26" s="334"/>
    </row>
    <row r="27" spans="1:24">
      <c r="G27" s="306"/>
      <c r="H27" s="357"/>
      <c r="I27" s="306"/>
      <c r="N27" s="358"/>
      <c r="O27" s="347"/>
      <c r="R27" s="327" t="s">
        <v>47</v>
      </c>
      <c r="S27" s="321">
        <v>42032</v>
      </c>
      <c r="T27" s="328">
        <v>1570</v>
      </c>
      <c r="U27" s="328">
        <v>16800</v>
      </c>
      <c r="V27" s="322">
        <f t="shared" si="2"/>
        <v>26376000</v>
      </c>
      <c r="W27" s="334"/>
    </row>
    <row r="28" spans="1:24">
      <c r="G28" s="306"/>
      <c r="H28" s="357"/>
      <c r="I28" s="306"/>
      <c r="N28" s="358"/>
      <c r="O28" s="347"/>
      <c r="R28" s="349"/>
      <c r="S28" s="321"/>
      <c r="T28" s="328"/>
      <c r="U28" s="328"/>
      <c r="V28" s="322">
        <f t="shared" si="2"/>
        <v>0</v>
      </c>
      <c r="W28" s="334"/>
    </row>
    <row r="29" spans="1:24" ht="18" customHeight="1">
      <c r="A29" s="292" t="s">
        <v>333</v>
      </c>
      <c r="B29" s="292"/>
      <c r="C29" s="293"/>
      <c r="D29" s="294"/>
      <c r="E29" s="294"/>
      <c r="F29" s="294"/>
      <c r="G29" s="291"/>
      <c r="H29" s="291"/>
      <c r="I29" s="291"/>
      <c r="J29" s="291"/>
      <c r="K29" s="291"/>
      <c r="L29" s="295"/>
      <c r="M29" s="291"/>
      <c r="N29" s="291"/>
      <c r="O29" s="296"/>
      <c r="P29" s="291"/>
      <c r="Q29" s="297"/>
      <c r="R29" s="362"/>
      <c r="S29" s="363"/>
      <c r="T29" s="307"/>
      <c r="U29" s="307"/>
      <c r="V29" s="361"/>
      <c r="W29" s="306"/>
      <c r="X29" s="306"/>
    </row>
    <row r="30" spans="1:24" ht="18.75" customHeight="1">
      <c r="A30" s="299" t="s">
        <v>350</v>
      </c>
      <c r="B30" s="299"/>
      <c r="C30" s="299"/>
      <c r="D30" s="299"/>
      <c r="E30" s="299"/>
      <c r="F30" s="299"/>
      <c r="G30" s="299"/>
      <c r="H30" s="299"/>
      <c r="I30" s="299"/>
      <c r="J30" s="299"/>
      <c r="K30" s="299"/>
      <c r="L30" s="299"/>
      <c r="M30" s="299"/>
      <c r="N30" s="299"/>
      <c r="O30" s="299"/>
      <c r="P30" s="299"/>
      <c r="Q30" s="297"/>
      <c r="R30" s="291"/>
      <c r="S30" s="298"/>
    </row>
    <row r="31" spans="1:24" ht="18.75" customHeight="1">
      <c r="A31" s="300"/>
      <c r="B31" s="300"/>
      <c r="C31" s="301"/>
      <c r="D31" s="300"/>
      <c r="E31" s="300"/>
      <c r="F31" s="300"/>
      <c r="G31" s="300"/>
      <c r="H31" s="300"/>
      <c r="I31" s="300"/>
      <c r="J31" s="300"/>
      <c r="K31" s="300"/>
      <c r="L31" s="299"/>
      <c r="M31" s="300"/>
      <c r="N31" s="300"/>
      <c r="O31" s="302"/>
      <c r="P31" s="300"/>
      <c r="Q31" s="297"/>
      <c r="R31" s="291"/>
      <c r="S31" s="298"/>
    </row>
    <row r="32" spans="1:24" ht="12.75" customHeight="1">
      <c r="A32" s="303"/>
      <c r="B32" s="303"/>
      <c r="C32" s="304"/>
      <c r="D32" s="303"/>
      <c r="E32" s="303"/>
      <c r="F32" s="303"/>
      <c r="G32" s="303"/>
      <c r="H32" s="303"/>
      <c r="I32" s="303"/>
      <c r="J32" s="303"/>
      <c r="K32" s="303"/>
      <c r="L32" s="303"/>
      <c r="M32" s="303"/>
      <c r="N32" s="303"/>
      <c r="O32" s="305"/>
      <c r="P32" s="303"/>
      <c r="Q32" s="297"/>
      <c r="R32" s="291"/>
      <c r="S32" s="298"/>
    </row>
    <row r="33" spans="1:23" s="314" customFormat="1" ht="30.75" customHeight="1">
      <c r="A33" s="308" t="s">
        <v>30</v>
      </c>
      <c r="B33" s="308" t="s">
        <v>335</v>
      </c>
      <c r="C33" s="309" t="s">
        <v>336</v>
      </c>
      <c r="D33" s="310" t="s">
        <v>337</v>
      </c>
      <c r="E33" s="310" t="s">
        <v>347</v>
      </c>
      <c r="F33" s="310" t="s">
        <v>338</v>
      </c>
      <c r="G33" s="310" t="s">
        <v>339</v>
      </c>
      <c r="H33" s="310" t="s">
        <v>340</v>
      </c>
      <c r="I33" s="310" t="s">
        <v>341</v>
      </c>
      <c r="J33" s="310" t="s">
        <v>342</v>
      </c>
      <c r="K33" s="311" t="s">
        <v>343</v>
      </c>
      <c r="L33" s="310" t="s">
        <v>344</v>
      </c>
      <c r="M33" s="311" t="s">
        <v>345</v>
      </c>
      <c r="N33" s="310" t="s">
        <v>346</v>
      </c>
      <c r="O33" s="312" t="s">
        <v>347</v>
      </c>
      <c r="P33" s="310" t="s">
        <v>348</v>
      </c>
      <c r="Q33" s="313"/>
      <c r="R33" s="308" t="s">
        <v>335</v>
      </c>
      <c r="S33" s="310" t="s">
        <v>80</v>
      </c>
      <c r="T33" s="310" t="s">
        <v>64</v>
      </c>
      <c r="U33" s="310" t="s">
        <v>338</v>
      </c>
      <c r="V33" s="310" t="s">
        <v>111</v>
      </c>
      <c r="W33" s="308" t="s">
        <v>111</v>
      </c>
    </row>
    <row r="34" spans="1:23">
      <c r="A34" s="315">
        <f>IF(B34&lt;&gt;"",ROW()-(ROW()-1),"")</f>
        <v>1</v>
      </c>
      <c r="B34" s="327" t="s">
        <v>122</v>
      </c>
      <c r="C34" s="317">
        <v>5</v>
      </c>
      <c r="D34" s="69">
        <f>ROUND(C34*O34,0)</f>
        <v>17100</v>
      </c>
      <c r="E34" s="69"/>
      <c r="F34" s="69">
        <v>29500</v>
      </c>
      <c r="G34" s="318">
        <f>D34*F34</f>
        <v>504450000</v>
      </c>
      <c r="H34" s="69">
        <f t="shared" ref="H34:K38" si="3">H$40/$D$40*$D34</f>
        <v>1428133.2399835293</v>
      </c>
      <c r="I34" s="69">
        <f t="shared" si="3"/>
        <v>17205625.536701977</v>
      </c>
      <c r="J34" s="69">
        <f t="shared" si="3"/>
        <v>7250755.4551420268</v>
      </c>
      <c r="K34" s="69">
        <f t="shared" si="3"/>
        <v>16022003.838005062</v>
      </c>
      <c r="L34" s="69">
        <f>SUM(V50:V51)</f>
        <v>18325000</v>
      </c>
      <c r="M34" s="69"/>
      <c r="N34" s="318">
        <f>SUM(G34:L34)</f>
        <v>564681518.06983256</v>
      </c>
      <c r="O34" s="69">
        <f>1200+2220</f>
        <v>3420</v>
      </c>
      <c r="P34" s="69">
        <f>N34/O34</f>
        <v>165111.55499117912</v>
      </c>
      <c r="Q34" s="338"/>
      <c r="R34" s="320" t="s">
        <v>39</v>
      </c>
      <c r="S34" s="321"/>
      <c r="T34" s="322"/>
      <c r="U34" s="322"/>
      <c r="V34" s="318">
        <f t="shared" ref="V34:V47" si="4">T34*U34</f>
        <v>0</v>
      </c>
      <c r="W34" s="324"/>
    </row>
    <row r="35" spans="1:23">
      <c r="A35" s="315">
        <f>IF(B35&lt;&gt;"",A34+1,"")</f>
        <v>2</v>
      </c>
      <c r="B35" s="327" t="s">
        <v>121</v>
      </c>
      <c r="C35" s="325">
        <v>5</v>
      </c>
      <c r="D35" s="69">
        <f>ROUND(C35*O35,0)</f>
        <v>22680</v>
      </c>
      <c r="E35" s="69"/>
      <c r="F35" s="69">
        <v>29500</v>
      </c>
      <c r="G35" s="318">
        <f>D35*F35</f>
        <v>669060000</v>
      </c>
      <c r="H35" s="69">
        <f t="shared" si="3"/>
        <v>1894155.665662365</v>
      </c>
      <c r="I35" s="69">
        <f t="shared" si="3"/>
        <v>22820092.817099467</v>
      </c>
      <c r="J35" s="69">
        <f t="shared" si="3"/>
        <v>9616791.4457673188</v>
      </c>
      <c r="K35" s="69">
        <f t="shared" si="3"/>
        <v>21250236.669354081</v>
      </c>
      <c r="L35" s="69">
        <f>SUM(V54:V56)</f>
        <v>41262900</v>
      </c>
      <c r="M35" s="69"/>
      <c r="N35" s="318">
        <f>SUM(G35:L35)</f>
        <v>765904176.59788322</v>
      </c>
      <c r="O35" s="326">
        <f>1620+2916</f>
        <v>4536</v>
      </c>
      <c r="P35" s="69">
        <f>N35/O35</f>
        <v>168850.12711593547</v>
      </c>
      <c r="Q35" s="338"/>
      <c r="R35" s="327" t="s">
        <v>49</v>
      </c>
      <c r="S35" s="321"/>
      <c r="T35" s="322"/>
      <c r="U35" s="322"/>
      <c r="V35" s="318">
        <f t="shared" si="4"/>
        <v>0</v>
      </c>
      <c r="W35" s="329"/>
    </row>
    <row r="36" spans="1:23">
      <c r="A36" s="315">
        <f>IF(B36&lt;&gt;"",A35+1,"")</f>
        <v>3</v>
      </c>
      <c r="B36" s="327" t="s">
        <v>118</v>
      </c>
      <c r="C36" s="325">
        <v>5</v>
      </c>
      <c r="D36" s="326">
        <f>ROUND(C36*O36,0)</f>
        <v>75000</v>
      </c>
      <c r="E36" s="69"/>
      <c r="F36" s="69">
        <v>29500</v>
      </c>
      <c r="G36" s="334">
        <f>D36*F36</f>
        <v>2212500000</v>
      </c>
      <c r="H36" s="69">
        <f t="shared" si="3"/>
        <v>6263742.2806295138</v>
      </c>
      <c r="I36" s="69">
        <f t="shared" si="3"/>
        <v>75463269.897815689</v>
      </c>
      <c r="J36" s="69">
        <f t="shared" si="3"/>
        <v>31801559.013780817</v>
      </c>
      <c r="K36" s="69">
        <f t="shared" si="3"/>
        <v>70271946.657916933</v>
      </c>
      <c r="L36" s="326">
        <f>SUM(V52:V53)</f>
        <v>103805000</v>
      </c>
      <c r="M36" s="326"/>
      <c r="N36" s="318">
        <f>SUM(G36:L36)</f>
        <v>2500105517.850143</v>
      </c>
      <c r="O36" s="326">
        <f>12000+3000</f>
        <v>15000</v>
      </c>
      <c r="P36" s="326">
        <f>N36/O36</f>
        <v>166673.70119000954</v>
      </c>
      <c r="Q36" s="338"/>
      <c r="R36" s="327" t="s">
        <v>40</v>
      </c>
      <c r="S36" s="321"/>
      <c r="T36" s="322"/>
      <c r="U36" s="322"/>
      <c r="V36" s="318">
        <f t="shared" si="4"/>
        <v>0</v>
      </c>
      <c r="W36" s="329"/>
    </row>
    <row r="37" spans="1:23">
      <c r="A37" s="315">
        <f>IF(B37&lt;&gt;"",A36+1,"")</f>
        <v>4</v>
      </c>
      <c r="B37" s="327" t="s">
        <v>119</v>
      </c>
      <c r="C37" s="325">
        <v>4.5</v>
      </c>
      <c r="D37" s="326">
        <f>ROUND(C37*O37,0)</f>
        <v>27000</v>
      </c>
      <c r="E37" s="326"/>
      <c r="F37" s="326">
        <v>25500</v>
      </c>
      <c r="G37" s="334">
        <f>D37*F37</f>
        <v>688500000</v>
      </c>
      <c r="H37" s="69">
        <f t="shared" si="3"/>
        <v>2254947.221026625</v>
      </c>
      <c r="I37" s="69">
        <f t="shared" si="3"/>
        <v>27166777.163213648</v>
      </c>
      <c r="J37" s="69">
        <f t="shared" si="3"/>
        <v>11448561.244961094</v>
      </c>
      <c r="K37" s="69">
        <f t="shared" si="3"/>
        <v>25297900.796850096</v>
      </c>
      <c r="L37" s="326">
        <f>V57</f>
        <v>11346000</v>
      </c>
      <c r="M37" s="326"/>
      <c r="N37" s="318">
        <f>SUM(G37:L37)</f>
        <v>766014186.4260515</v>
      </c>
      <c r="O37" s="326">
        <v>6000</v>
      </c>
      <c r="P37" s="326">
        <f>N37/O37</f>
        <v>127669.03107100858</v>
      </c>
      <c r="Q37" s="338"/>
      <c r="R37" s="327" t="s">
        <v>66</v>
      </c>
      <c r="S37" s="321"/>
      <c r="T37" s="322"/>
      <c r="U37" s="322"/>
      <c r="V37" s="318">
        <f t="shared" si="4"/>
        <v>0</v>
      </c>
      <c r="W37" s="329"/>
    </row>
    <row r="38" spans="1:23">
      <c r="A38" s="315">
        <f>IF(B38&lt;&gt;"",A37+1,"")</f>
        <v>5</v>
      </c>
      <c r="B38" s="327" t="s">
        <v>120</v>
      </c>
      <c r="C38" s="325">
        <v>4.5</v>
      </c>
      <c r="D38" s="326">
        <f>ROUND(C38*O38,0)</f>
        <v>18225</v>
      </c>
      <c r="E38" s="326"/>
      <c r="F38" s="326">
        <v>25500</v>
      </c>
      <c r="G38" s="334">
        <f>D38*F38</f>
        <v>464737500</v>
      </c>
      <c r="H38" s="69">
        <f t="shared" si="3"/>
        <v>1522089.374192972</v>
      </c>
      <c r="I38" s="69">
        <f t="shared" si="3"/>
        <v>18337574.585169215</v>
      </c>
      <c r="J38" s="69">
        <f t="shared" si="3"/>
        <v>7727778.8403487382</v>
      </c>
      <c r="K38" s="69">
        <f t="shared" si="3"/>
        <v>17076083.037873816</v>
      </c>
      <c r="L38" s="326">
        <f>SUM(V58:V59)</f>
        <v>53730000</v>
      </c>
      <c r="M38" s="326"/>
      <c r="N38" s="318">
        <f>SUM(G38:L38)</f>
        <v>563131025.83758473</v>
      </c>
      <c r="O38" s="326">
        <v>4050</v>
      </c>
      <c r="P38" s="326">
        <f>N38/O38</f>
        <v>139044.69773767525</v>
      </c>
      <c r="Q38" s="338"/>
      <c r="R38" s="327" t="s">
        <v>41</v>
      </c>
      <c r="S38" s="321">
        <v>42037</v>
      </c>
      <c r="T38" s="322">
        <v>250</v>
      </c>
      <c r="U38" s="322">
        <v>3500</v>
      </c>
      <c r="V38" s="318">
        <f t="shared" si="4"/>
        <v>875000</v>
      </c>
      <c r="W38" s="329"/>
    </row>
    <row r="39" spans="1:23" s="339" customFormat="1">
      <c r="A39" s="315" t="str">
        <f>IF(B39&lt;&gt;"",#REF!+1,"")</f>
        <v/>
      </c>
      <c r="B39" s="365"/>
      <c r="C39" s="366"/>
      <c r="D39" s="367"/>
      <c r="E39" s="367"/>
      <c r="F39" s="367"/>
      <c r="G39" s="368"/>
      <c r="H39" s="367"/>
      <c r="I39" s="336"/>
      <c r="J39" s="369"/>
      <c r="K39" s="367"/>
      <c r="L39" s="370"/>
      <c r="M39" s="367"/>
      <c r="N39" s="336"/>
      <c r="O39" s="371"/>
      <c r="P39" s="367"/>
      <c r="Q39" s="338"/>
      <c r="R39" s="327" t="s">
        <v>108</v>
      </c>
      <c r="S39" s="321">
        <v>42037</v>
      </c>
      <c r="T39" s="322">
        <v>300</v>
      </c>
      <c r="U39" s="322">
        <v>3000</v>
      </c>
      <c r="V39" s="318">
        <f t="shared" si="4"/>
        <v>900000</v>
      </c>
      <c r="W39" s="329"/>
    </row>
    <row r="40" spans="1:23" s="292" customFormat="1">
      <c r="A40" s="340"/>
      <c r="B40" s="341" t="s">
        <v>349</v>
      </c>
      <c r="C40" s="342"/>
      <c r="D40" s="343">
        <f>SUM(D34:D39)</f>
        <v>160005</v>
      </c>
      <c r="E40" s="343"/>
      <c r="F40" s="343"/>
      <c r="G40" s="343">
        <f>SUM(G34:G39)</f>
        <v>4539247500</v>
      </c>
      <c r="H40" s="344">
        <f>V49</f>
        <v>13363067.781495005</v>
      </c>
      <c r="I40" s="344">
        <v>160993340</v>
      </c>
      <c r="J40" s="344">
        <v>67845446</v>
      </c>
      <c r="K40" s="344">
        <v>149918171</v>
      </c>
      <c r="L40" s="343">
        <f>ROUND(SUM(L34:L39),0)</f>
        <v>228468900</v>
      </c>
      <c r="M40" s="343">
        <f>ROUND(SUM(M34:M39),0)</f>
        <v>0</v>
      </c>
      <c r="N40" s="343">
        <f>ROUND(SUM(N34:N39),0)</f>
        <v>5159836425</v>
      </c>
      <c r="O40" s="343">
        <f>ROUND(SUM(O34:O39),0)</f>
        <v>33006</v>
      </c>
      <c r="P40" s="343"/>
      <c r="Q40" s="297"/>
      <c r="R40" s="327" t="s">
        <v>109</v>
      </c>
      <c r="S40" s="321">
        <v>42037</v>
      </c>
      <c r="T40" s="322">
        <v>160</v>
      </c>
      <c r="U40" s="322">
        <v>5500</v>
      </c>
      <c r="V40" s="318">
        <f t="shared" si="4"/>
        <v>880000</v>
      </c>
      <c r="W40" s="329"/>
    </row>
    <row r="41" spans="1:23" s="292" customFormat="1">
      <c r="A41" s="345"/>
      <c r="B41" s="346"/>
      <c r="C41" s="301"/>
      <c r="D41" s="347"/>
      <c r="E41" s="347"/>
      <c r="F41" s="347"/>
      <c r="G41" s="347"/>
      <c r="H41" s="299"/>
      <c r="I41" s="347"/>
      <c r="J41" s="347"/>
      <c r="K41" s="347"/>
      <c r="L41" s="347"/>
      <c r="M41" s="347"/>
      <c r="N41" s="347"/>
      <c r="O41" s="347"/>
      <c r="P41" s="347"/>
      <c r="Q41" s="297"/>
      <c r="R41" s="327" t="s">
        <v>110</v>
      </c>
      <c r="S41" s="321"/>
      <c r="T41" s="322"/>
      <c r="U41" s="322"/>
      <c r="V41" s="318">
        <f t="shared" si="4"/>
        <v>0</v>
      </c>
      <c r="W41" s="350"/>
    </row>
    <row r="42" spans="1:23" s="292" customFormat="1">
      <c r="A42" s="345"/>
      <c r="B42" s="346"/>
      <c r="C42" s="301"/>
      <c r="D42" s="347"/>
      <c r="E42" s="347"/>
      <c r="F42" s="347"/>
      <c r="G42" s="347"/>
      <c r="H42" s="299"/>
      <c r="I42" s="347"/>
      <c r="J42" s="347"/>
      <c r="K42" s="347"/>
      <c r="L42" s="347"/>
      <c r="M42" s="347"/>
      <c r="N42" s="347"/>
      <c r="O42" s="347"/>
      <c r="P42" s="347"/>
      <c r="Q42" s="297"/>
      <c r="R42" s="327" t="s">
        <v>38</v>
      </c>
      <c r="S42" s="321">
        <v>42045</v>
      </c>
      <c r="T42" s="322">
        <v>150</v>
      </c>
      <c r="U42" s="322">
        <v>8700</v>
      </c>
      <c r="V42" s="318">
        <f t="shared" si="4"/>
        <v>1305000</v>
      </c>
      <c r="W42" s="350"/>
    </row>
    <row r="43" spans="1:23" s="292" customFormat="1">
      <c r="A43" s="345"/>
      <c r="B43" s="346"/>
      <c r="C43" s="301"/>
      <c r="D43" s="347"/>
      <c r="E43" s="347"/>
      <c r="F43" s="347"/>
      <c r="G43" s="347"/>
      <c r="H43" s="299"/>
      <c r="I43" s="347"/>
      <c r="J43" s="347"/>
      <c r="K43" s="347"/>
      <c r="L43" s="347"/>
      <c r="M43" s="347"/>
      <c r="N43" s="347"/>
      <c r="O43" s="347"/>
      <c r="P43" s="347"/>
      <c r="Q43" s="297"/>
      <c r="R43" s="327" t="s">
        <v>128</v>
      </c>
      <c r="S43" s="321">
        <v>42045</v>
      </c>
      <c r="T43" s="322">
        <v>20500</v>
      </c>
      <c r="U43" s="322">
        <v>380</v>
      </c>
      <c r="V43" s="318">
        <f t="shared" si="4"/>
        <v>7790000</v>
      </c>
      <c r="W43" s="350"/>
    </row>
    <row r="44" spans="1:23" s="292" customFormat="1">
      <c r="A44" s="345"/>
      <c r="B44" s="346"/>
      <c r="C44" s="301"/>
      <c r="D44" s="347"/>
      <c r="E44" s="347"/>
      <c r="F44" s="347"/>
      <c r="G44" s="347"/>
      <c r="H44" s="299"/>
      <c r="I44" s="347"/>
      <c r="J44" s="347"/>
      <c r="K44" s="347"/>
      <c r="L44" s="347"/>
      <c r="M44" s="347"/>
      <c r="N44" s="347"/>
      <c r="O44" s="347"/>
      <c r="P44" s="347"/>
      <c r="Q44" s="297"/>
      <c r="R44" s="327" t="s">
        <v>59</v>
      </c>
      <c r="S44" s="321"/>
      <c r="T44" s="322"/>
      <c r="U44" s="322"/>
      <c r="V44" s="318">
        <f t="shared" si="4"/>
        <v>0</v>
      </c>
      <c r="W44" s="350"/>
    </row>
    <row r="45" spans="1:23" s="292" customFormat="1">
      <c r="A45" s="345"/>
      <c r="B45" s="346"/>
      <c r="C45" s="301"/>
      <c r="D45" s="347"/>
      <c r="E45" s="347"/>
      <c r="F45" s="347"/>
      <c r="G45" s="347"/>
      <c r="H45" s="299"/>
      <c r="I45" s="347"/>
      <c r="J45" s="347"/>
      <c r="K45" s="347"/>
      <c r="L45" s="347"/>
      <c r="M45" s="347"/>
      <c r="N45" s="347"/>
      <c r="O45" s="347"/>
      <c r="P45" s="347"/>
      <c r="Q45" s="297"/>
      <c r="R45" s="327" t="s">
        <v>123</v>
      </c>
      <c r="S45" s="321"/>
      <c r="T45" s="322"/>
      <c r="U45" s="322"/>
      <c r="V45" s="318">
        <f t="shared" si="4"/>
        <v>0</v>
      </c>
      <c r="W45" s="350"/>
    </row>
    <row r="46" spans="1:23" s="292" customFormat="1">
      <c r="A46" s="345"/>
      <c r="B46" s="346"/>
      <c r="C46" s="301"/>
      <c r="D46" s="347"/>
      <c r="E46" s="347"/>
      <c r="F46" s="347"/>
      <c r="G46" s="347"/>
      <c r="H46" s="299"/>
      <c r="I46" s="347"/>
      <c r="J46" s="347"/>
      <c r="K46" s="347"/>
      <c r="L46" s="347"/>
      <c r="M46" s="347"/>
      <c r="N46" s="347"/>
      <c r="O46" s="347"/>
      <c r="P46" s="347"/>
      <c r="Q46" s="297"/>
      <c r="R46" s="351" t="s">
        <v>54</v>
      </c>
      <c r="S46" s="321">
        <v>42045</v>
      </c>
      <c r="T46" s="322">
        <v>350</v>
      </c>
      <c r="U46" s="322">
        <v>323.05080427144196</v>
      </c>
      <c r="V46" s="318">
        <f t="shared" si="4"/>
        <v>113067.78149500469</v>
      </c>
      <c r="W46" s="350"/>
    </row>
    <row r="47" spans="1:23" s="292" customFormat="1">
      <c r="A47" s="345"/>
      <c r="B47" s="346"/>
      <c r="C47" s="301"/>
      <c r="D47" s="347"/>
      <c r="E47" s="347"/>
      <c r="F47" s="347"/>
      <c r="G47" s="347"/>
      <c r="H47" s="299"/>
      <c r="I47" s="347"/>
      <c r="J47" s="347"/>
      <c r="K47" s="347"/>
      <c r="L47" s="347"/>
      <c r="M47" s="347"/>
      <c r="N47" s="347"/>
      <c r="O47" s="347"/>
      <c r="P47" s="347"/>
      <c r="Q47" s="297"/>
      <c r="R47" s="327" t="s">
        <v>107</v>
      </c>
      <c r="S47" s="321">
        <v>42045</v>
      </c>
      <c r="T47" s="322">
        <v>100</v>
      </c>
      <c r="U47" s="322">
        <v>15000</v>
      </c>
      <c r="V47" s="318">
        <f t="shared" si="4"/>
        <v>1500000</v>
      </c>
      <c r="W47" s="350"/>
    </row>
    <row r="48" spans="1:23">
      <c r="R48" s="352"/>
      <c r="S48" s="321"/>
      <c r="T48" s="353"/>
      <c r="U48" s="322"/>
      <c r="V48" s="353"/>
      <c r="W48" s="350"/>
    </row>
    <row r="49" spans="1:23">
      <c r="R49" s="372"/>
      <c r="S49" s="373"/>
      <c r="T49" s="374"/>
      <c r="U49" s="354"/>
      <c r="V49" s="355">
        <f>SUM(V34:V48)</f>
        <v>13363067.781495005</v>
      </c>
      <c r="W49" s="355">
        <f>SUM(W34:W48)</f>
        <v>0</v>
      </c>
    </row>
    <row r="50" spans="1:23">
      <c r="R50" s="375" t="s">
        <v>105</v>
      </c>
      <c r="S50" s="321">
        <v>42050</v>
      </c>
      <c r="T50" s="322">
        <v>90000</v>
      </c>
      <c r="U50" s="322">
        <v>155</v>
      </c>
      <c r="V50" s="322">
        <f t="shared" ref="V50:V60" si="5">T50*U50</f>
        <v>13950000</v>
      </c>
      <c r="W50" s="324"/>
    </row>
    <row r="51" spans="1:23">
      <c r="R51" s="375" t="s">
        <v>46</v>
      </c>
      <c r="S51" s="321">
        <v>42050</v>
      </c>
      <c r="T51" s="322">
        <v>1750</v>
      </c>
      <c r="U51" s="322">
        <v>2500</v>
      </c>
      <c r="V51" s="322">
        <f t="shared" si="5"/>
        <v>4375000</v>
      </c>
      <c r="W51" s="324"/>
    </row>
    <row r="52" spans="1:23">
      <c r="R52" s="375" t="s">
        <v>105</v>
      </c>
      <c r="S52" s="321">
        <v>42050</v>
      </c>
      <c r="T52" s="322">
        <v>375000</v>
      </c>
      <c r="U52" s="322">
        <v>155</v>
      </c>
      <c r="V52" s="322">
        <f t="shared" si="5"/>
        <v>58125000</v>
      </c>
      <c r="W52" s="324"/>
    </row>
    <row r="53" spans="1:23">
      <c r="R53" s="375" t="s">
        <v>129</v>
      </c>
      <c r="S53" s="321">
        <v>42050</v>
      </c>
      <c r="T53" s="322">
        <v>2284</v>
      </c>
      <c r="U53" s="322">
        <v>20000</v>
      </c>
      <c r="V53" s="322">
        <f t="shared" si="5"/>
        <v>45680000</v>
      </c>
      <c r="W53" s="324"/>
    </row>
    <row r="54" spans="1:23">
      <c r="R54" s="375" t="s">
        <v>106</v>
      </c>
      <c r="S54" s="321">
        <v>42059</v>
      </c>
      <c r="T54" s="322">
        <v>100</v>
      </c>
      <c r="U54" s="322">
        <v>429</v>
      </c>
      <c r="V54" s="322">
        <f t="shared" si="5"/>
        <v>42900</v>
      </c>
      <c r="W54" s="324"/>
    </row>
    <row r="55" spans="1:23">
      <c r="R55" s="375" t="s">
        <v>106</v>
      </c>
      <c r="S55" s="321">
        <v>42059</v>
      </c>
      <c r="T55" s="322">
        <v>50500</v>
      </c>
      <c r="U55" s="322">
        <v>690</v>
      </c>
      <c r="V55" s="322">
        <f t="shared" si="5"/>
        <v>34845000</v>
      </c>
      <c r="W55" s="324"/>
    </row>
    <row r="56" spans="1:23">
      <c r="R56" s="375" t="s">
        <v>46</v>
      </c>
      <c r="S56" s="321">
        <v>42059</v>
      </c>
      <c r="T56" s="322">
        <v>2550</v>
      </c>
      <c r="U56" s="322">
        <v>2500</v>
      </c>
      <c r="V56" s="322">
        <f t="shared" si="5"/>
        <v>6375000</v>
      </c>
      <c r="W56" s="324"/>
    </row>
    <row r="57" spans="1:23">
      <c r="R57" s="375" t="s">
        <v>56</v>
      </c>
      <c r="S57" s="321">
        <v>42059</v>
      </c>
      <c r="T57" s="322">
        <v>620</v>
      </c>
      <c r="U57" s="322">
        <v>18300</v>
      </c>
      <c r="V57" s="322">
        <f t="shared" si="5"/>
        <v>11346000</v>
      </c>
      <c r="W57" s="324"/>
    </row>
    <row r="58" spans="1:23">
      <c r="R58" s="375" t="s">
        <v>125</v>
      </c>
      <c r="S58" s="321">
        <v>42061</v>
      </c>
      <c r="T58" s="322">
        <v>162000</v>
      </c>
      <c r="U58" s="322">
        <v>290</v>
      </c>
      <c r="V58" s="322">
        <f t="shared" si="5"/>
        <v>46980000</v>
      </c>
      <c r="W58" s="324"/>
    </row>
    <row r="59" spans="1:23">
      <c r="R59" s="375" t="s">
        <v>46</v>
      </c>
      <c r="S59" s="321">
        <v>42061</v>
      </c>
      <c r="T59" s="322">
        <v>2700</v>
      </c>
      <c r="U59" s="322">
        <v>2500</v>
      </c>
      <c r="V59" s="322">
        <f t="shared" si="5"/>
        <v>6750000</v>
      </c>
      <c r="W59" s="324"/>
    </row>
    <row r="60" spans="1:23">
      <c r="R60" s="349"/>
      <c r="S60" s="321"/>
      <c r="T60" s="328"/>
      <c r="U60" s="328"/>
      <c r="V60" s="322">
        <f t="shared" si="5"/>
        <v>0</v>
      </c>
      <c r="W60" s="334"/>
    </row>
    <row r="61" spans="1:23">
      <c r="R61" s="297"/>
      <c r="S61" s="376"/>
      <c r="T61" s="307"/>
      <c r="U61" s="307"/>
      <c r="V61" s="307"/>
      <c r="W61" s="364"/>
    </row>
    <row r="62" spans="1:23" ht="18" customHeight="1">
      <c r="A62" s="292" t="s">
        <v>333</v>
      </c>
      <c r="B62" s="292"/>
      <c r="C62" s="293"/>
      <c r="D62" s="294"/>
      <c r="E62" s="294"/>
      <c r="F62" s="294"/>
      <c r="G62" s="291"/>
      <c r="H62" s="291"/>
      <c r="I62" s="291"/>
      <c r="J62" s="291"/>
      <c r="K62" s="291"/>
      <c r="L62" s="295"/>
      <c r="M62" s="291"/>
      <c r="N62" s="291"/>
      <c r="O62" s="296"/>
      <c r="P62" s="291"/>
      <c r="Q62" s="297"/>
      <c r="R62" s="297"/>
      <c r="S62" s="363"/>
      <c r="T62" s="307"/>
      <c r="U62" s="307"/>
      <c r="V62" s="307"/>
      <c r="W62" s="364"/>
    </row>
    <row r="63" spans="1:23" ht="18.75" customHeight="1">
      <c r="A63" s="299" t="s">
        <v>351</v>
      </c>
      <c r="B63" s="299"/>
      <c r="C63" s="299"/>
      <c r="D63" s="299"/>
      <c r="E63" s="299"/>
      <c r="F63" s="299"/>
      <c r="G63" s="299"/>
      <c r="H63" s="299"/>
      <c r="I63" s="299"/>
      <c r="J63" s="299"/>
      <c r="K63" s="299"/>
      <c r="L63" s="299"/>
      <c r="M63" s="299"/>
      <c r="N63" s="299"/>
      <c r="O63" s="299"/>
      <c r="P63" s="299"/>
      <c r="Q63" s="297"/>
      <c r="R63" s="362"/>
      <c r="S63" s="363"/>
      <c r="T63" s="307"/>
      <c r="U63" s="307"/>
      <c r="V63" s="361"/>
      <c r="W63" s="364"/>
    </row>
    <row r="64" spans="1:23" ht="18.75" customHeight="1">
      <c r="A64" s="300"/>
      <c r="B64" s="300"/>
      <c r="C64" s="301"/>
      <c r="D64" s="300"/>
      <c r="E64" s="300"/>
      <c r="F64" s="300"/>
      <c r="G64" s="300"/>
      <c r="H64" s="300"/>
      <c r="I64" s="300"/>
      <c r="J64" s="300"/>
      <c r="K64" s="300"/>
      <c r="L64" s="299"/>
      <c r="M64" s="300"/>
      <c r="N64" s="300"/>
      <c r="O64" s="302"/>
      <c r="P64" s="300"/>
      <c r="Q64" s="297"/>
      <c r="R64" s="362"/>
      <c r="S64" s="363"/>
      <c r="T64" s="307"/>
      <c r="U64" s="307"/>
      <c r="V64" s="361"/>
      <c r="W64" s="364"/>
    </row>
    <row r="65" spans="1:23" ht="12.75" customHeight="1">
      <c r="A65" s="303"/>
      <c r="B65" s="303"/>
      <c r="C65" s="304"/>
      <c r="D65" s="303"/>
      <c r="E65" s="303"/>
      <c r="F65" s="303"/>
      <c r="G65" s="303"/>
      <c r="H65" s="303"/>
      <c r="I65" s="303"/>
      <c r="J65" s="303"/>
      <c r="K65" s="303"/>
      <c r="L65" s="303"/>
      <c r="M65" s="303"/>
      <c r="N65" s="303"/>
      <c r="O65" s="305"/>
      <c r="P65" s="303"/>
      <c r="Q65" s="297"/>
      <c r="R65" s="362"/>
      <c r="S65" s="363"/>
      <c r="T65" s="307"/>
      <c r="U65" s="307"/>
      <c r="V65" s="361"/>
      <c r="W65" s="306"/>
    </row>
    <row r="66" spans="1:23" s="314" customFormat="1" ht="30.75" customHeight="1">
      <c r="A66" s="308" t="s">
        <v>30</v>
      </c>
      <c r="B66" s="308" t="s">
        <v>335</v>
      </c>
      <c r="C66" s="309" t="s">
        <v>336</v>
      </c>
      <c r="D66" s="310" t="s">
        <v>337</v>
      </c>
      <c r="E66" s="310" t="s">
        <v>347</v>
      </c>
      <c r="F66" s="310" t="s">
        <v>338</v>
      </c>
      <c r="G66" s="310" t="s">
        <v>339</v>
      </c>
      <c r="H66" s="310" t="s">
        <v>340</v>
      </c>
      <c r="I66" s="310" t="s">
        <v>341</v>
      </c>
      <c r="J66" s="310" t="s">
        <v>342</v>
      </c>
      <c r="K66" s="311" t="s">
        <v>343</v>
      </c>
      <c r="L66" s="310" t="s">
        <v>344</v>
      </c>
      <c r="M66" s="311" t="s">
        <v>345</v>
      </c>
      <c r="N66" s="310" t="s">
        <v>346</v>
      </c>
      <c r="O66" s="312" t="s">
        <v>347</v>
      </c>
      <c r="P66" s="310" t="s">
        <v>348</v>
      </c>
      <c r="Q66" s="313"/>
      <c r="R66" s="308" t="s">
        <v>335</v>
      </c>
      <c r="S66" s="310" t="s">
        <v>80</v>
      </c>
      <c r="T66" s="310" t="s">
        <v>64</v>
      </c>
      <c r="U66" s="310" t="s">
        <v>338</v>
      </c>
      <c r="V66" s="310" t="s">
        <v>111</v>
      </c>
      <c r="W66" s="308" t="s">
        <v>111</v>
      </c>
    </row>
    <row r="67" spans="1:23">
      <c r="A67" s="315">
        <f>IF(B67&lt;&gt;"",ROW()-(ROW()-1),"")</f>
        <v>1</v>
      </c>
      <c r="B67" s="316" t="s">
        <v>165</v>
      </c>
      <c r="C67" s="317">
        <v>11</v>
      </c>
      <c r="D67" s="69">
        <f t="shared" ref="D67:D73" si="6">ROUND(C67*O67,0)</f>
        <v>63140</v>
      </c>
      <c r="E67" s="69"/>
      <c r="F67" s="69">
        <v>18000</v>
      </c>
      <c r="G67" s="318">
        <f t="shared" ref="G67:G73" si="7">D67*F67</f>
        <v>1136520000</v>
      </c>
      <c r="H67" s="69">
        <f t="shared" ref="H67:K73" si="8">H$75/$D$75*$D67</f>
        <v>21361716.471273951</v>
      </c>
      <c r="I67" s="69">
        <f t="shared" si="8"/>
        <v>76522182.129352942</v>
      </c>
      <c r="J67" s="69">
        <f t="shared" si="8"/>
        <v>22771153.439649455</v>
      </c>
      <c r="K67" s="69">
        <f t="shared" si="8"/>
        <v>70540001.318568319</v>
      </c>
      <c r="L67" s="69">
        <f>V83</f>
        <v>6817500</v>
      </c>
      <c r="M67" s="69"/>
      <c r="N67" s="318">
        <f>ROUND(SUM(G67:L67),0)</f>
        <v>1334532553</v>
      </c>
      <c r="O67" s="326">
        <v>5740</v>
      </c>
      <c r="P67" s="69">
        <f>IF(O67&lt;&gt;"",N67/O67,"")</f>
        <v>232496.96045296168</v>
      </c>
      <c r="Q67" s="338"/>
      <c r="R67" s="320" t="s">
        <v>39</v>
      </c>
      <c r="S67" s="321">
        <v>42064</v>
      </c>
      <c r="T67" s="322">
        <v>200</v>
      </c>
      <c r="U67" s="323">
        <v>31000</v>
      </c>
      <c r="V67" s="318">
        <f t="shared" ref="V67:V80" si="9">T67*U67</f>
        <v>6200000</v>
      </c>
      <c r="W67" s="324"/>
    </row>
    <row r="68" spans="1:23">
      <c r="A68" s="315">
        <f t="shared" ref="A68:A73" si="10">IF(B68&lt;&gt;"",A67+1,"")</f>
        <v>2</v>
      </c>
      <c r="B68" s="316" t="s">
        <v>121</v>
      </c>
      <c r="C68" s="325">
        <v>5.0999999999999996</v>
      </c>
      <c r="D68" s="69">
        <f t="shared" si="6"/>
        <v>11016</v>
      </c>
      <c r="E68" s="69"/>
      <c r="F68" s="69">
        <v>29500</v>
      </c>
      <c r="G68" s="318">
        <f t="shared" si="7"/>
        <v>324972000</v>
      </c>
      <c r="H68" s="69">
        <f t="shared" si="8"/>
        <v>3726966.5607784898</v>
      </c>
      <c r="I68" s="69">
        <f t="shared" si="8"/>
        <v>13350781.72849148</v>
      </c>
      <c r="J68" s="69">
        <f t="shared" si="8"/>
        <v>3972870.2295086854</v>
      </c>
      <c r="K68" s="69">
        <f t="shared" si="8"/>
        <v>12307074.034294402</v>
      </c>
      <c r="L68" s="69">
        <f>SUM(V84:V85)</f>
        <v>24450000</v>
      </c>
      <c r="M68" s="69"/>
      <c r="N68" s="318">
        <f t="shared" ref="N68:N73" si="11">ROUND(SUM(G68:L68),0)</f>
        <v>382779693</v>
      </c>
      <c r="O68" s="326">
        <v>2160</v>
      </c>
      <c r="P68" s="69">
        <f t="shared" ref="P68:P73" si="12">IF(O68&lt;&gt;"",N68/O68,"")</f>
        <v>177212.82083333333</v>
      </c>
      <c r="Q68" s="338"/>
      <c r="R68" s="327" t="s">
        <v>49</v>
      </c>
      <c r="S68" s="321">
        <v>42064</v>
      </c>
      <c r="T68" s="322">
        <v>250</v>
      </c>
      <c r="U68" s="328">
        <v>46741.2</v>
      </c>
      <c r="V68" s="318">
        <f t="shared" si="9"/>
        <v>11685300</v>
      </c>
      <c r="W68" s="329"/>
    </row>
    <row r="69" spans="1:23">
      <c r="A69" s="315">
        <f t="shared" si="10"/>
        <v>3</v>
      </c>
      <c r="B69" s="316" t="s">
        <v>118</v>
      </c>
      <c r="C69" s="325">
        <v>5.0999999999999996</v>
      </c>
      <c r="D69" s="69">
        <f t="shared" si="6"/>
        <v>9792</v>
      </c>
      <c r="E69" s="69"/>
      <c r="F69" s="69">
        <v>29500</v>
      </c>
      <c r="G69" s="318">
        <f t="shared" si="7"/>
        <v>288864000</v>
      </c>
      <c r="H69" s="69">
        <f t="shared" si="8"/>
        <v>3312859.1651364351</v>
      </c>
      <c r="I69" s="69">
        <f t="shared" si="8"/>
        <v>11867361.536436871</v>
      </c>
      <c r="J69" s="69">
        <f t="shared" si="8"/>
        <v>3531440.2040077201</v>
      </c>
      <c r="K69" s="69">
        <f t="shared" si="8"/>
        <v>10939621.363817247</v>
      </c>
      <c r="L69" s="69">
        <f>SUM(V86:V88)</f>
        <v>35818750</v>
      </c>
      <c r="M69" s="69"/>
      <c r="N69" s="318">
        <f t="shared" si="11"/>
        <v>354334032</v>
      </c>
      <c r="O69" s="326">
        <v>1920</v>
      </c>
      <c r="P69" s="69">
        <f t="shared" si="12"/>
        <v>184548.97500000001</v>
      </c>
      <c r="Q69" s="338"/>
      <c r="R69" s="327" t="s">
        <v>40</v>
      </c>
      <c r="S69" s="321">
        <v>42064</v>
      </c>
      <c r="T69" s="322">
        <v>150</v>
      </c>
      <c r="U69" s="328">
        <v>11666.666999999999</v>
      </c>
      <c r="V69" s="318">
        <f t="shared" si="9"/>
        <v>1750000.0499999998</v>
      </c>
      <c r="W69" s="329"/>
    </row>
    <row r="70" spans="1:23">
      <c r="A70" s="315">
        <f t="shared" si="10"/>
        <v>4</v>
      </c>
      <c r="B70" s="316" t="s">
        <v>122</v>
      </c>
      <c r="C70" s="325">
        <v>5.0999999999999996</v>
      </c>
      <c r="D70" s="69">
        <f t="shared" si="6"/>
        <v>9180</v>
      </c>
      <c r="E70" s="69"/>
      <c r="F70" s="69">
        <v>29500</v>
      </c>
      <c r="G70" s="318">
        <f t="shared" si="7"/>
        <v>270810000</v>
      </c>
      <c r="H70" s="69">
        <f t="shared" si="8"/>
        <v>3105805.4673154079</v>
      </c>
      <c r="I70" s="69">
        <f t="shared" si="8"/>
        <v>11125651.440409565</v>
      </c>
      <c r="J70" s="69">
        <f t="shared" si="8"/>
        <v>3310725.1912572379</v>
      </c>
      <c r="K70" s="69">
        <f t="shared" si="8"/>
        <v>10255895.028578669</v>
      </c>
      <c r="L70" s="69">
        <f>SUM(V89:V90)</f>
        <v>37140000</v>
      </c>
      <c r="M70" s="69"/>
      <c r="N70" s="318">
        <f t="shared" si="11"/>
        <v>335748077</v>
      </c>
      <c r="O70" s="326">
        <v>1800</v>
      </c>
      <c r="P70" s="69">
        <f t="shared" si="12"/>
        <v>186526.70944444445</v>
      </c>
      <c r="Q70" s="338"/>
      <c r="R70" s="327" t="s">
        <v>66</v>
      </c>
      <c r="S70" s="321">
        <v>42064</v>
      </c>
      <c r="T70" s="349">
        <v>150</v>
      </c>
      <c r="U70" s="328">
        <v>23616.16</v>
      </c>
      <c r="V70" s="318">
        <f t="shared" si="9"/>
        <v>3542424</v>
      </c>
      <c r="W70" s="329"/>
    </row>
    <row r="71" spans="1:23">
      <c r="A71" s="315">
        <f t="shared" si="10"/>
        <v>5</v>
      </c>
      <c r="B71" s="316" t="s">
        <v>120</v>
      </c>
      <c r="C71" s="325">
        <v>3</v>
      </c>
      <c r="D71" s="69">
        <f t="shared" si="6"/>
        <v>4500</v>
      </c>
      <c r="E71" s="69"/>
      <c r="F71" s="69">
        <v>40000</v>
      </c>
      <c r="G71" s="318">
        <f t="shared" si="7"/>
        <v>180000000</v>
      </c>
      <c r="H71" s="69">
        <f t="shared" si="8"/>
        <v>1522453.6604487293</v>
      </c>
      <c r="I71" s="69">
        <f t="shared" si="8"/>
        <v>5453750.7060831208</v>
      </c>
      <c r="J71" s="69">
        <f t="shared" si="8"/>
        <v>1622904.5055182539</v>
      </c>
      <c r="K71" s="69">
        <f t="shared" si="8"/>
        <v>5027399.5238130726</v>
      </c>
      <c r="L71" s="69">
        <f>SUM(V91:V92)</f>
        <v>20400000</v>
      </c>
      <c r="M71" s="69"/>
      <c r="N71" s="318">
        <f t="shared" si="11"/>
        <v>214026508</v>
      </c>
      <c r="O71" s="326">
        <v>1500</v>
      </c>
      <c r="P71" s="69">
        <f t="shared" si="12"/>
        <v>142684.33866666668</v>
      </c>
      <c r="Q71" s="338"/>
      <c r="R71" s="327" t="s">
        <v>41</v>
      </c>
      <c r="S71" s="321">
        <v>42065</v>
      </c>
      <c r="T71" s="322">
        <v>250</v>
      </c>
      <c r="U71" s="328">
        <v>3500</v>
      </c>
      <c r="V71" s="318">
        <f t="shared" si="9"/>
        <v>875000</v>
      </c>
      <c r="W71" s="329"/>
    </row>
    <row r="72" spans="1:23">
      <c r="A72" s="315">
        <f t="shared" si="10"/>
        <v>6</v>
      </c>
      <c r="B72" s="316" t="s">
        <v>120</v>
      </c>
      <c r="C72" s="325">
        <v>4.5</v>
      </c>
      <c r="D72" s="69">
        <f t="shared" si="6"/>
        <v>6413</v>
      </c>
      <c r="E72" s="69"/>
      <c r="F72" s="69">
        <v>26500</v>
      </c>
      <c r="G72" s="318">
        <f t="shared" si="7"/>
        <v>169944500</v>
      </c>
      <c r="H72" s="69">
        <f t="shared" si="8"/>
        <v>2169665.6276572673</v>
      </c>
      <c r="I72" s="69">
        <f t="shared" si="8"/>
        <v>7772200.7284691222</v>
      </c>
      <c r="J72" s="69">
        <f t="shared" si="8"/>
        <v>2312819.2430863469</v>
      </c>
      <c r="K72" s="69">
        <f t="shared" si="8"/>
        <v>7164602.9213807192</v>
      </c>
      <c r="L72" s="69">
        <f>SUM(V93:V94)</f>
        <v>19405000</v>
      </c>
      <c r="M72" s="69"/>
      <c r="N72" s="318">
        <f t="shared" si="11"/>
        <v>208768789</v>
      </c>
      <c r="O72" s="326">
        <v>1425</v>
      </c>
      <c r="P72" s="69">
        <f t="shared" si="12"/>
        <v>146504.41333333333</v>
      </c>
      <c r="Q72" s="338"/>
      <c r="R72" s="327" t="s">
        <v>108</v>
      </c>
      <c r="S72" s="321">
        <v>42065</v>
      </c>
      <c r="T72" s="322">
        <v>450</v>
      </c>
      <c r="U72" s="328">
        <v>3000</v>
      </c>
      <c r="V72" s="318">
        <f t="shared" si="9"/>
        <v>1350000</v>
      </c>
      <c r="W72" s="329"/>
    </row>
    <row r="73" spans="1:23">
      <c r="A73" s="315">
        <f t="shared" si="10"/>
        <v>7</v>
      </c>
      <c r="B73" s="316" t="s">
        <v>119</v>
      </c>
      <c r="C73" s="325">
        <v>4.5</v>
      </c>
      <c r="D73" s="69">
        <f t="shared" si="6"/>
        <v>30150</v>
      </c>
      <c r="E73" s="69"/>
      <c r="F73" s="69">
        <v>26500</v>
      </c>
      <c r="G73" s="318">
        <f t="shared" si="7"/>
        <v>798975000</v>
      </c>
      <c r="H73" s="69">
        <f t="shared" si="8"/>
        <v>10200439.525006488</v>
      </c>
      <c r="I73" s="69">
        <f t="shared" si="8"/>
        <v>36540129.730756909</v>
      </c>
      <c r="J73" s="69">
        <f t="shared" si="8"/>
        <v>10873460.1869723</v>
      </c>
      <c r="K73" s="69">
        <f t="shared" si="8"/>
        <v>33683576.809547588</v>
      </c>
      <c r="L73" s="69">
        <f>V95</f>
        <v>8750000</v>
      </c>
      <c r="M73" s="69"/>
      <c r="N73" s="318">
        <f t="shared" si="11"/>
        <v>899022606</v>
      </c>
      <c r="O73" s="326">
        <v>6700</v>
      </c>
      <c r="P73" s="69">
        <f t="shared" si="12"/>
        <v>134182.47850746269</v>
      </c>
      <c r="Q73" s="338"/>
      <c r="R73" s="327" t="s">
        <v>109</v>
      </c>
      <c r="S73" s="321">
        <v>42065</v>
      </c>
      <c r="T73" s="322">
        <v>150</v>
      </c>
      <c r="U73" s="328">
        <v>5500</v>
      </c>
      <c r="V73" s="318">
        <f t="shared" si="9"/>
        <v>825000</v>
      </c>
      <c r="W73" s="329"/>
    </row>
    <row r="74" spans="1:23">
      <c r="A74" s="315" t="str">
        <f>IF(B74&lt;&gt;"",#REF!+1,"")</f>
        <v/>
      </c>
      <c r="B74" s="330"/>
      <c r="C74" s="331"/>
      <c r="D74" s="332"/>
      <c r="E74" s="332"/>
      <c r="F74" s="332"/>
      <c r="G74" s="333"/>
      <c r="H74" s="332"/>
      <c r="I74" s="377"/>
      <c r="J74" s="334"/>
      <c r="K74" s="332"/>
      <c r="L74" s="335"/>
      <c r="M74" s="332"/>
      <c r="N74" s="377"/>
      <c r="O74" s="337"/>
      <c r="P74" s="332"/>
      <c r="Q74" s="338"/>
      <c r="R74" s="327" t="s">
        <v>110</v>
      </c>
      <c r="S74" s="321">
        <v>42065</v>
      </c>
      <c r="T74" s="349">
        <v>500</v>
      </c>
      <c r="U74" s="349">
        <v>8465.3438901077934</v>
      </c>
      <c r="V74" s="318">
        <f t="shared" si="9"/>
        <v>4232671.9450538969</v>
      </c>
      <c r="W74" s="329"/>
    </row>
    <row r="75" spans="1:23" s="339" customFormat="1">
      <c r="A75" s="340"/>
      <c r="B75" s="341" t="s">
        <v>349</v>
      </c>
      <c r="C75" s="342"/>
      <c r="D75" s="343">
        <f>SUM(D67:D74)</f>
        <v>134191</v>
      </c>
      <c r="E75" s="343"/>
      <c r="F75" s="343"/>
      <c r="G75" s="343">
        <f>SUM(G67:G74)</f>
        <v>3170085500</v>
      </c>
      <c r="H75" s="344">
        <f>V82</f>
        <v>45399906.477616765</v>
      </c>
      <c r="I75" s="344">
        <v>162632058</v>
      </c>
      <c r="J75" s="344">
        <v>48395373</v>
      </c>
      <c r="K75" s="344">
        <v>149918171</v>
      </c>
      <c r="L75" s="343">
        <f>ROUND(SUM(L67:L74),0)</f>
        <v>152781250</v>
      </c>
      <c r="M75" s="343">
        <f>ROUND(SUM(M67:M74),0)</f>
        <v>0</v>
      </c>
      <c r="N75" s="343">
        <f>ROUND(SUM(N67:N74),0)</f>
        <v>3729212258</v>
      </c>
      <c r="O75" s="343">
        <f>ROUND(SUM(O67:O74),0)</f>
        <v>21245</v>
      </c>
      <c r="P75" s="343"/>
      <c r="Q75" s="338"/>
      <c r="R75" s="327" t="s">
        <v>38</v>
      </c>
      <c r="S75" s="321">
        <v>42073</v>
      </c>
      <c r="T75" s="349">
        <v>85</v>
      </c>
      <c r="U75" s="328">
        <v>8700</v>
      </c>
      <c r="V75" s="318">
        <f t="shared" si="9"/>
        <v>739500</v>
      </c>
      <c r="W75" s="329"/>
    </row>
    <row r="76" spans="1:23" s="292" customFormat="1">
      <c r="A76" s="345"/>
      <c r="B76" s="346"/>
      <c r="C76" s="301"/>
      <c r="D76" s="347"/>
      <c r="E76" s="347"/>
      <c r="F76" s="347"/>
      <c r="G76" s="347"/>
      <c r="H76" s="299"/>
      <c r="I76" s="299"/>
      <c r="J76" s="299"/>
      <c r="K76" s="299"/>
      <c r="L76" s="299"/>
      <c r="M76" s="347"/>
      <c r="N76" s="347"/>
      <c r="O76" s="347"/>
      <c r="P76" s="347"/>
      <c r="Q76" s="297"/>
      <c r="R76" s="327" t="s">
        <v>128</v>
      </c>
      <c r="S76" s="360"/>
      <c r="T76" s="349"/>
      <c r="U76" s="328"/>
      <c r="V76" s="318">
        <f t="shared" si="9"/>
        <v>0</v>
      </c>
      <c r="W76" s="329"/>
    </row>
    <row r="77" spans="1:23" s="292" customFormat="1">
      <c r="A77" s="345"/>
      <c r="B77" s="346"/>
      <c r="C77" s="301"/>
      <c r="D77" s="347"/>
      <c r="E77" s="347"/>
      <c r="F77" s="347"/>
      <c r="G77" s="347"/>
      <c r="H77" s="299"/>
      <c r="I77" s="299"/>
      <c r="J77" s="299"/>
      <c r="K77" s="299"/>
      <c r="L77" s="299"/>
      <c r="M77" s="347"/>
      <c r="N77" s="347"/>
      <c r="O77" s="347"/>
      <c r="P77" s="347"/>
      <c r="Q77" s="297"/>
      <c r="R77" s="327" t="s">
        <v>59</v>
      </c>
      <c r="S77" s="321">
        <v>42073</v>
      </c>
      <c r="T77" s="349">
        <v>170</v>
      </c>
      <c r="U77" s="328">
        <v>19154</v>
      </c>
      <c r="V77" s="318">
        <f t="shared" si="9"/>
        <v>3256180</v>
      </c>
      <c r="W77" s="329"/>
    </row>
    <row r="78" spans="1:23" s="292" customFormat="1">
      <c r="A78" s="345"/>
      <c r="B78" s="346"/>
      <c r="C78" s="301"/>
      <c r="D78" s="347"/>
      <c r="E78" s="347"/>
      <c r="F78" s="347"/>
      <c r="G78" s="347"/>
      <c r="H78" s="299"/>
      <c r="I78" s="299"/>
      <c r="J78" s="299"/>
      <c r="K78" s="299"/>
      <c r="L78" s="299"/>
      <c r="M78" s="347"/>
      <c r="N78" s="347"/>
      <c r="O78" s="347"/>
      <c r="P78" s="347"/>
      <c r="Q78" s="297"/>
      <c r="R78" s="327" t="s">
        <v>58</v>
      </c>
      <c r="S78" s="321">
        <v>42073</v>
      </c>
      <c r="T78" s="349">
        <v>250</v>
      </c>
      <c r="U78" s="328">
        <v>34000</v>
      </c>
      <c r="V78" s="318">
        <f t="shared" si="9"/>
        <v>8500000</v>
      </c>
      <c r="W78" s="329"/>
    </row>
    <row r="79" spans="1:23" s="292" customFormat="1">
      <c r="A79" s="345"/>
      <c r="B79" s="346"/>
      <c r="C79" s="301"/>
      <c r="D79" s="347"/>
      <c r="E79" s="347"/>
      <c r="F79" s="347"/>
      <c r="G79" s="347"/>
      <c r="H79" s="299"/>
      <c r="I79" s="299"/>
      <c r="J79" s="299"/>
      <c r="K79" s="299"/>
      <c r="L79" s="299"/>
      <c r="M79" s="347"/>
      <c r="N79" s="347"/>
      <c r="O79" s="347"/>
      <c r="P79" s="347"/>
      <c r="Q79" s="297"/>
      <c r="R79" s="351" t="s">
        <v>54</v>
      </c>
      <c r="S79" s="321">
        <v>42073</v>
      </c>
      <c r="T79" s="349">
        <v>600</v>
      </c>
      <c r="U79" s="328">
        <v>323.05080427144196</v>
      </c>
      <c r="V79" s="318">
        <f t="shared" si="9"/>
        <v>193830.48256286519</v>
      </c>
      <c r="W79" s="329"/>
    </row>
    <row r="80" spans="1:23" s="292" customFormat="1">
      <c r="A80" s="345"/>
      <c r="B80" s="346"/>
      <c r="C80" s="301"/>
      <c r="D80" s="347"/>
      <c r="E80" s="347"/>
      <c r="F80" s="347"/>
      <c r="G80" s="347"/>
      <c r="H80" s="299"/>
      <c r="I80" s="299"/>
      <c r="J80" s="299"/>
      <c r="K80" s="299"/>
      <c r="L80" s="299"/>
      <c r="M80" s="347"/>
      <c r="N80" s="347"/>
      <c r="O80" s="347"/>
      <c r="P80" s="347"/>
      <c r="Q80" s="297"/>
      <c r="R80" s="327" t="s">
        <v>107</v>
      </c>
      <c r="S80" s="321">
        <v>42073</v>
      </c>
      <c r="T80" s="349">
        <v>150</v>
      </c>
      <c r="U80" s="328">
        <v>15000</v>
      </c>
      <c r="V80" s="318">
        <f t="shared" si="9"/>
        <v>2250000</v>
      </c>
      <c r="W80" s="329"/>
    </row>
    <row r="81" spans="1:23" s="292" customFormat="1">
      <c r="A81" s="345"/>
      <c r="B81" s="346"/>
      <c r="C81" s="301"/>
      <c r="D81" s="347"/>
      <c r="E81" s="347"/>
      <c r="F81" s="347"/>
      <c r="G81" s="347"/>
      <c r="H81" s="299"/>
      <c r="I81" s="347"/>
      <c r="J81" s="347"/>
      <c r="K81" s="347"/>
      <c r="L81" s="347"/>
      <c r="M81" s="347"/>
      <c r="N81" s="347"/>
      <c r="O81" s="347"/>
      <c r="P81" s="347"/>
      <c r="Q81" s="297"/>
      <c r="R81" s="378"/>
      <c r="S81" s="379"/>
      <c r="T81" s="380"/>
      <c r="U81" s="380"/>
      <c r="V81" s="380"/>
      <c r="W81" s="381"/>
    </row>
    <row r="82" spans="1:23" s="292" customFormat="1">
      <c r="A82" s="345"/>
      <c r="B82" s="346"/>
      <c r="C82" s="301"/>
      <c r="D82" s="347"/>
      <c r="E82" s="347"/>
      <c r="F82" s="347"/>
      <c r="G82" s="347"/>
      <c r="H82" s="299"/>
      <c r="I82" s="347"/>
      <c r="J82" s="347"/>
      <c r="K82" s="347"/>
      <c r="L82" s="347"/>
      <c r="M82" s="347"/>
      <c r="N82" s="347"/>
      <c r="O82" s="347"/>
      <c r="P82" s="347"/>
      <c r="Q82" s="297"/>
      <c r="R82" s="372"/>
      <c r="S82" s="373"/>
      <c r="T82" s="374"/>
      <c r="U82" s="354"/>
      <c r="V82" s="355">
        <f>SUM(V67:V81)</f>
        <v>45399906.477616765</v>
      </c>
      <c r="W82" s="355">
        <f>SUM(W67:W76)</f>
        <v>0</v>
      </c>
    </row>
    <row r="83" spans="1:23" s="292" customFormat="1">
      <c r="A83" s="345"/>
      <c r="B83" s="346"/>
      <c r="C83" s="301"/>
      <c r="D83" s="347"/>
      <c r="E83" s="347"/>
      <c r="F83" s="347"/>
      <c r="G83" s="348"/>
      <c r="H83" s="299"/>
      <c r="I83" s="347"/>
      <c r="J83" s="347"/>
      <c r="K83" s="347"/>
      <c r="L83" s="347"/>
      <c r="M83" s="347"/>
      <c r="N83" s="382"/>
      <c r="O83" s="347"/>
      <c r="P83" s="347"/>
      <c r="Q83" s="297"/>
      <c r="R83" s="375" t="s">
        <v>62</v>
      </c>
      <c r="S83" s="321">
        <v>42078</v>
      </c>
      <c r="T83" s="322">
        <v>675</v>
      </c>
      <c r="U83" s="322">
        <v>10100</v>
      </c>
      <c r="V83" s="318">
        <f t="shared" ref="V83:V95" si="13">T83*U83</f>
        <v>6817500</v>
      </c>
      <c r="W83" s="318"/>
    </row>
    <row r="84" spans="1:23" s="292" customFormat="1">
      <c r="A84" s="345"/>
      <c r="B84" s="346"/>
      <c r="C84" s="301"/>
      <c r="D84" s="347"/>
      <c r="E84" s="347"/>
      <c r="F84" s="347"/>
      <c r="G84" s="347"/>
      <c r="H84" s="299"/>
      <c r="I84" s="347"/>
      <c r="J84" s="347"/>
      <c r="K84" s="347"/>
      <c r="L84" s="347"/>
      <c r="M84" s="347"/>
      <c r="N84" s="347"/>
      <c r="O84" s="347"/>
      <c r="P84" s="347"/>
      <c r="Q84" s="297"/>
      <c r="R84" s="375" t="s">
        <v>106</v>
      </c>
      <c r="S84" s="321">
        <v>42078</v>
      </c>
      <c r="T84" s="328">
        <v>30000</v>
      </c>
      <c r="U84" s="328">
        <v>690</v>
      </c>
      <c r="V84" s="318">
        <f t="shared" si="13"/>
        <v>20700000</v>
      </c>
      <c r="W84" s="334"/>
    </row>
    <row r="85" spans="1:23" s="292" customFormat="1">
      <c r="A85" s="345"/>
      <c r="B85" s="346"/>
      <c r="C85" s="301"/>
      <c r="D85" s="347"/>
      <c r="E85" s="347"/>
      <c r="F85" s="347"/>
      <c r="G85" s="347"/>
      <c r="H85" s="299"/>
      <c r="I85" s="347"/>
      <c r="J85" s="347"/>
      <c r="K85" s="347"/>
      <c r="L85" s="347"/>
      <c r="M85" s="347"/>
      <c r="N85" s="347"/>
      <c r="O85" s="347"/>
      <c r="P85" s="347"/>
      <c r="Q85" s="297"/>
      <c r="R85" s="375" t="s">
        <v>46</v>
      </c>
      <c r="S85" s="321">
        <v>42082</v>
      </c>
      <c r="T85" s="328">
        <v>1500</v>
      </c>
      <c r="U85" s="328">
        <v>2500</v>
      </c>
      <c r="V85" s="318">
        <f t="shared" si="13"/>
        <v>3750000</v>
      </c>
      <c r="W85" s="334"/>
    </row>
    <row r="86" spans="1:23" s="292" customFormat="1">
      <c r="A86" s="288"/>
      <c r="B86" s="288"/>
      <c r="C86" s="288"/>
      <c r="D86" s="288"/>
      <c r="E86" s="288"/>
      <c r="F86" s="288"/>
      <c r="G86" s="288"/>
      <c r="H86" s="288"/>
      <c r="I86" s="288"/>
      <c r="J86" s="288"/>
      <c r="K86" s="288"/>
      <c r="L86" s="288"/>
      <c r="M86" s="288"/>
      <c r="N86" s="288"/>
      <c r="O86" s="288"/>
      <c r="P86" s="288"/>
      <c r="Q86" s="297"/>
      <c r="R86" s="375" t="s">
        <v>105</v>
      </c>
      <c r="S86" s="321">
        <v>42078</v>
      </c>
      <c r="T86" s="328">
        <v>12250</v>
      </c>
      <c r="U86" s="328">
        <v>155</v>
      </c>
      <c r="V86" s="318">
        <f t="shared" si="13"/>
        <v>1898750</v>
      </c>
      <c r="W86" s="334"/>
    </row>
    <row r="87" spans="1:23">
      <c r="R87" s="375" t="s">
        <v>105</v>
      </c>
      <c r="S87" s="321">
        <v>42078</v>
      </c>
      <c r="T87" s="328">
        <v>41000</v>
      </c>
      <c r="U87" s="328">
        <v>380</v>
      </c>
      <c r="V87" s="318">
        <f t="shared" si="13"/>
        <v>15580000</v>
      </c>
      <c r="W87" s="334"/>
    </row>
    <row r="88" spans="1:23">
      <c r="R88" s="375" t="s">
        <v>129</v>
      </c>
      <c r="S88" s="321">
        <v>42082</v>
      </c>
      <c r="T88" s="322">
        <v>917</v>
      </c>
      <c r="U88" s="322">
        <v>20000</v>
      </c>
      <c r="V88" s="318">
        <f t="shared" si="13"/>
        <v>18340000</v>
      </c>
      <c r="W88" s="334"/>
    </row>
    <row r="89" spans="1:23">
      <c r="R89" s="375" t="s">
        <v>105</v>
      </c>
      <c r="S89" s="321">
        <v>42078</v>
      </c>
      <c r="T89" s="328">
        <v>90500</v>
      </c>
      <c r="U89" s="328">
        <v>380</v>
      </c>
      <c r="V89" s="318">
        <f t="shared" si="13"/>
        <v>34390000</v>
      </c>
      <c r="W89" s="334"/>
    </row>
    <row r="90" spans="1:23">
      <c r="R90" s="375" t="s">
        <v>46</v>
      </c>
      <c r="S90" s="321">
        <v>42082</v>
      </c>
      <c r="T90" s="328">
        <v>1100</v>
      </c>
      <c r="U90" s="328">
        <v>2500</v>
      </c>
      <c r="V90" s="318">
        <f t="shared" si="13"/>
        <v>2750000</v>
      </c>
      <c r="W90" s="334"/>
    </row>
    <row r="91" spans="1:23">
      <c r="R91" s="375" t="s">
        <v>125</v>
      </c>
      <c r="S91" s="321">
        <v>42078</v>
      </c>
      <c r="T91" s="328">
        <v>60000</v>
      </c>
      <c r="U91" s="328">
        <v>290</v>
      </c>
      <c r="V91" s="318">
        <f t="shared" si="13"/>
        <v>17400000</v>
      </c>
      <c r="W91" s="334"/>
    </row>
    <row r="92" spans="1:23">
      <c r="R92" s="375" t="s">
        <v>46</v>
      </c>
      <c r="S92" s="321">
        <v>42082</v>
      </c>
      <c r="T92" s="328">
        <v>1200</v>
      </c>
      <c r="U92" s="328">
        <v>2500</v>
      </c>
      <c r="V92" s="318">
        <f t="shared" si="13"/>
        <v>3000000</v>
      </c>
      <c r="W92" s="334"/>
    </row>
    <row r="93" spans="1:23">
      <c r="R93" s="375" t="s">
        <v>125</v>
      </c>
      <c r="S93" s="321">
        <v>42078</v>
      </c>
      <c r="T93" s="328">
        <v>57000</v>
      </c>
      <c r="U93" s="328">
        <v>290</v>
      </c>
      <c r="V93" s="318">
        <f t="shared" si="13"/>
        <v>16530000</v>
      </c>
      <c r="W93" s="334"/>
    </row>
    <row r="94" spans="1:23">
      <c r="R94" s="375" t="s">
        <v>46</v>
      </c>
      <c r="S94" s="321">
        <v>42082</v>
      </c>
      <c r="T94" s="328">
        <v>1150</v>
      </c>
      <c r="U94" s="328">
        <v>2500</v>
      </c>
      <c r="V94" s="318">
        <f t="shared" si="13"/>
        <v>2875000</v>
      </c>
      <c r="W94" s="334"/>
    </row>
    <row r="95" spans="1:23">
      <c r="R95" s="375" t="s">
        <v>61</v>
      </c>
      <c r="S95" s="321">
        <v>42082</v>
      </c>
      <c r="T95" s="328">
        <v>770</v>
      </c>
      <c r="U95" s="328">
        <v>11363.636363636364</v>
      </c>
      <c r="V95" s="318">
        <f t="shared" si="13"/>
        <v>8750000</v>
      </c>
      <c r="W95" s="334"/>
    </row>
    <row r="96" spans="1:23" ht="18" customHeight="1">
      <c r="A96" s="292" t="s">
        <v>333</v>
      </c>
      <c r="B96" s="292"/>
      <c r="C96" s="293"/>
      <c r="D96" s="294"/>
      <c r="E96" s="294"/>
      <c r="F96" s="294"/>
      <c r="G96" s="291"/>
      <c r="H96" s="291"/>
      <c r="I96" s="291"/>
      <c r="J96" s="291"/>
      <c r="K96" s="291"/>
      <c r="L96" s="295"/>
      <c r="M96" s="291"/>
      <c r="N96" s="291"/>
      <c r="O96" s="296"/>
      <c r="P96" s="291"/>
      <c r="Q96" s="297"/>
      <c r="R96" s="291"/>
      <c r="S96" s="298"/>
    </row>
    <row r="97" spans="1:23" ht="18.75" customHeight="1">
      <c r="A97" s="299" t="s">
        <v>352</v>
      </c>
      <c r="B97" s="299"/>
      <c r="C97" s="299"/>
      <c r="D97" s="299"/>
      <c r="E97" s="299"/>
      <c r="F97" s="299"/>
      <c r="G97" s="299"/>
      <c r="H97" s="299"/>
      <c r="I97" s="299"/>
      <c r="J97" s="299"/>
      <c r="K97" s="299"/>
      <c r="L97" s="299"/>
      <c r="M97" s="299"/>
      <c r="N97" s="299"/>
      <c r="O97" s="299"/>
      <c r="P97" s="299"/>
      <c r="Q97" s="297"/>
      <c r="R97" s="291"/>
      <c r="S97" s="298"/>
    </row>
    <row r="98" spans="1:23" ht="18.75" customHeight="1">
      <c r="A98" s="300"/>
      <c r="B98" s="300"/>
      <c r="C98" s="301"/>
      <c r="D98" s="300"/>
      <c r="E98" s="300"/>
      <c r="F98" s="300"/>
      <c r="G98" s="300"/>
      <c r="H98" s="300"/>
      <c r="I98" s="300"/>
      <c r="J98" s="300"/>
      <c r="K98" s="300"/>
      <c r="L98" s="299"/>
      <c r="M98" s="300"/>
      <c r="N98" s="300"/>
      <c r="O98" s="302"/>
      <c r="P98" s="300"/>
      <c r="Q98" s="297"/>
      <c r="R98" s="291"/>
      <c r="S98" s="298"/>
    </row>
    <row r="99" spans="1:23" ht="12.75" customHeight="1">
      <c r="A99" s="303"/>
      <c r="B99" s="303"/>
      <c r="C99" s="304"/>
      <c r="D99" s="303"/>
      <c r="E99" s="303"/>
      <c r="F99" s="303"/>
      <c r="G99" s="303"/>
      <c r="H99" s="303"/>
      <c r="I99" s="303"/>
      <c r="J99" s="303"/>
      <c r="K99" s="303"/>
      <c r="L99" s="303"/>
      <c r="M99" s="303"/>
      <c r="N99" s="303"/>
      <c r="O99" s="305"/>
      <c r="P99" s="303"/>
      <c r="Q99" s="297"/>
      <c r="R99" s="291"/>
      <c r="S99" s="298"/>
    </row>
    <row r="100" spans="1:23" s="314" customFormat="1" ht="30.75" customHeight="1">
      <c r="A100" s="308" t="s">
        <v>30</v>
      </c>
      <c r="B100" s="308" t="s">
        <v>335</v>
      </c>
      <c r="C100" s="309" t="s">
        <v>336</v>
      </c>
      <c r="D100" s="310" t="s">
        <v>337</v>
      </c>
      <c r="E100" s="310" t="s">
        <v>347</v>
      </c>
      <c r="F100" s="310" t="s">
        <v>338</v>
      </c>
      <c r="G100" s="310" t="s">
        <v>339</v>
      </c>
      <c r="H100" s="310" t="s">
        <v>340</v>
      </c>
      <c r="I100" s="310" t="s">
        <v>341</v>
      </c>
      <c r="J100" s="310" t="s">
        <v>342</v>
      </c>
      <c r="K100" s="311" t="s">
        <v>343</v>
      </c>
      <c r="L100" s="310" t="s">
        <v>344</v>
      </c>
      <c r="M100" s="311" t="s">
        <v>345</v>
      </c>
      <c r="N100" s="310" t="s">
        <v>346</v>
      </c>
      <c r="O100" s="312" t="s">
        <v>347</v>
      </c>
      <c r="P100" s="310" t="s">
        <v>348</v>
      </c>
      <c r="Q100" s="313"/>
      <c r="R100" s="308" t="s">
        <v>335</v>
      </c>
      <c r="S100" s="310" t="s">
        <v>80</v>
      </c>
      <c r="T100" s="310" t="s">
        <v>64</v>
      </c>
      <c r="U100" s="310" t="s">
        <v>338</v>
      </c>
      <c r="V100" s="310" t="s">
        <v>111</v>
      </c>
      <c r="W100" s="308" t="s">
        <v>111</v>
      </c>
    </row>
    <row r="101" spans="1:23">
      <c r="A101" s="422">
        <f>IF(B101&lt;&gt;"",ROW()-(ROW()-1),"")</f>
        <v>1</v>
      </c>
      <c r="B101" s="423" t="s">
        <v>331</v>
      </c>
      <c r="C101" s="317">
        <v>4.4000000000000004</v>
      </c>
      <c r="D101" s="69">
        <f t="shared" ref="D101:D102" si="14">ROUND(C101*O101,0)</f>
        <v>101244</v>
      </c>
      <c r="E101" s="69"/>
      <c r="F101" s="69">
        <v>15500</v>
      </c>
      <c r="G101" s="318">
        <f t="shared" ref="G101:G102" si="15">D101*F101</f>
        <v>1569282000</v>
      </c>
      <c r="H101" s="69">
        <f t="shared" ref="H101:K102" si="16">IF($D$104&lt;&gt;0,H$104/$D$104*$D101,0)</f>
        <v>21089653.434294477</v>
      </c>
      <c r="I101" s="69">
        <f t="shared" si="16"/>
        <v>102230533.91708897</v>
      </c>
      <c r="J101" s="69">
        <f t="shared" si="16"/>
        <v>47676074.641854286</v>
      </c>
      <c r="K101" s="69">
        <f t="shared" si="16"/>
        <v>105080967.74337459</v>
      </c>
      <c r="L101" s="318">
        <f>V114</f>
        <v>7900000</v>
      </c>
      <c r="M101" s="69" t="e">
        <f>34560000/($O$101+#REF!+#REF!)*O101</f>
        <v>#REF!</v>
      </c>
      <c r="N101" s="318">
        <f t="shared" ref="N101" si="17">ROUND(SUM(G101:L101),0)</f>
        <v>1853259230</v>
      </c>
      <c r="O101" s="69">
        <v>23010</v>
      </c>
      <c r="P101" s="69">
        <f t="shared" ref="P101:P102" si="18">IF(N101&lt;&gt;0,N101/O101,0)</f>
        <v>80541.470230334642</v>
      </c>
      <c r="Q101" s="338"/>
      <c r="R101" s="320" t="s">
        <v>39</v>
      </c>
      <c r="S101" s="383">
        <v>42099</v>
      </c>
      <c r="T101" s="322">
        <v>200</v>
      </c>
      <c r="U101" s="323">
        <v>31000</v>
      </c>
      <c r="V101" s="318">
        <f t="shared" ref="V101:V111" si="19">T101*U101</f>
        <v>6200000</v>
      </c>
      <c r="W101" s="318"/>
    </row>
    <row r="102" spans="1:23">
      <c r="A102" s="424">
        <f t="shared" ref="A102" si="20">IF(B102&lt;&gt;"",A101+1,"")</f>
        <v>2</v>
      </c>
      <c r="B102" s="37" t="s">
        <v>126</v>
      </c>
      <c r="C102" s="317">
        <v>4.5</v>
      </c>
      <c r="D102" s="69">
        <f t="shared" si="14"/>
        <v>43200</v>
      </c>
      <c r="E102" s="69"/>
      <c r="F102" s="69">
        <v>17000</v>
      </c>
      <c r="G102" s="318">
        <f t="shared" si="15"/>
        <v>734400000</v>
      </c>
      <c r="H102" s="69">
        <f t="shared" si="16"/>
        <v>8998785.3933222853</v>
      </c>
      <c r="I102" s="69">
        <f t="shared" si="16"/>
        <v>43620946.082911022</v>
      </c>
      <c r="J102" s="69">
        <f t="shared" si="16"/>
        <v>20342997.358145718</v>
      </c>
      <c r="K102" s="69">
        <f t="shared" si="16"/>
        <v>44837203.256625399</v>
      </c>
      <c r="L102" s="318">
        <f>V115</f>
        <v>11776000</v>
      </c>
      <c r="M102" s="69"/>
      <c r="N102" s="318">
        <f>ROUND(SUM(G102:L102),0)</f>
        <v>863975932</v>
      </c>
      <c r="O102" s="326">
        <v>9600</v>
      </c>
      <c r="P102" s="69">
        <f t="shared" si="18"/>
        <v>89997.49291666667</v>
      </c>
      <c r="Q102" s="338"/>
      <c r="R102" s="327" t="s">
        <v>49</v>
      </c>
      <c r="S102" s="383">
        <v>42099</v>
      </c>
      <c r="T102" s="322">
        <v>150</v>
      </c>
      <c r="U102" s="328">
        <v>46741.2</v>
      </c>
      <c r="V102" s="318">
        <f t="shared" si="19"/>
        <v>7011180</v>
      </c>
      <c r="W102" s="334"/>
    </row>
    <row r="103" spans="1:23">
      <c r="A103" s="315" t="str">
        <f>IF(B103&lt;&gt;"",#REF!+1,"")</f>
        <v/>
      </c>
      <c r="B103" s="330"/>
      <c r="C103" s="331"/>
      <c r="D103" s="332"/>
      <c r="E103" s="332"/>
      <c r="F103" s="332"/>
      <c r="G103" s="333"/>
      <c r="H103" s="332"/>
      <c r="I103" s="377"/>
      <c r="J103" s="334"/>
      <c r="K103" s="332"/>
      <c r="L103" s="335"/>
      <c r="M103" s="332"/>
      <c r="N103" s="336"/>
      <c r="O103" s="337"/>
      <c r="P103" s="332"/>
      <c r="Q103" s="338"/>
      <c r="R103" s="327" t="s">
        <v>40</v>
      </c>
      <c r="S103" s="383">
        <v>42099</v>
      </c>
      <c r="T103" s="322">
        <v>200</v>
      </c>
      <c r="U103" s="328">
        <v>11666.666999999999</v>
      </c>
      <c r="V103" s="318">
        <f t="shared" si="19"/>
        <v>2333333.4</v>
      </c>
      <c r="W103" s="334"/>
    </row>
    <row r="104" spans="1:23" s="339" customFormat="1">
      <c r="A104" s="340"/>
      <c r="B104" s="341" t="s">
        <v>349</v>
      </c>
      <c r="C104" s="342"/>
      <c r="D104" s="343">
        <f>SUM(D101:D102)</f>
        <v>144444</v>
      </c>
      <c r="E104" s="343"/>
      <c r="F104" s="343"/>
      <c r="G104" s="343">
        <f>SUM(G101:G102)</f>
        <v>2303682000</v>
      </c>
      <c r="H104" s="344">
        <f>V113</f>
        <v>30088438.827616762</v>
      </c>
      <c r="I104" s="344">
        <v>145851480</v>
      </c>
      <c r="J104" s="344">
        <v>68019072</v>
      </c>
      <c r="K104" s="344">
        <v>149918171</v>
      </c>
      <c r="L104" s="343">
        <f>ROUND(SUM(L101:L103),0)</f>
        <v>19676000</v>
      </c>
      <c r="M104" s="343" t="e">
        <f>ROUND(SUM(M101:M103),0)</f>
        <v>#REF!</v>
      </c>
      <c r="N104" s="343">
        <f>ROUND(SUM(N101:N103),0)</f>
        <v>2717235162</v>
      </c>
      <c r="O104" s="343">
        <f>ROUND(SUM(O101:O103),0)</f>
        <v>32610</v>
      </c>
      <c r="P104" s="343"/>
      <c r="Q104" s="338"/>
      <c r="R104" s="327" t="s">
        <v>66</v>
      </c>
      <c r="S104" s="383">
        <v>42099</v>
      </c>
      <c r="T104" s="349">
        <v>150</v>
      </c>
      <c r="U104" s="328">
        <v>23616.16</v>
      </c>
      <c r="V104" s="318">
        <f>T104*U104-1</f>
        <v>3542423</v>
      </c>
      <c r="W104" s="334"/>
    </row>
    <row r="105" spans="1:23" s="292" customFormat="1">
      <c r="A105" s="288"/>
      <c r="B105" s="288"/>
      <c r="C105" s="288"/>
      <c r="D105" s="288"/>
      <c r="E105" s="288"/>
      <c r="F105" s="288"/>
      <c r="G105" s="288"/>
      <c r="H105" s="288"/>
      <c r="I105" s="288"/>
      <c r="J105" s="288"/>
      <c r="K105" s="288"/>
      <c r="L105" s="288"/>
      <c r="M105" s="288"/>
      <c r="N105" s="288"/>
      <c r="O105" s="288"/>
      <c r="P105" s="288"/>
      <c r="Q105" s="338"/>
      <c r="R105" s="327" t="s">
        <v>41</v>
      </c>
      <c r="S105" s="383">
        <v>42101</v>
      </c>
      <c r="T105" s="322">
        <v>250</v>
      </c>
      <c r="U105" s="328">
        <v>3500</v>
      </c>
      <c r="V105" s="318">
        <f t="shared" ref="V105:V109" si="21">T105*U105</f>
        <v>875000</v>
      </c>
      <c r="W105" s="334"/>
    </row>
    <row r="106" spans="1:23">
      <c r="Q106" s="338"/>
      <c r="R106" s="327" t="s">
        <v>108</v>
      </c>
      <c r="S106" s="383">
        <v>42101</v>
      </c>
      <c r="T106" s="322">
        <v>450</v>
      </c>
      <c r="U106" s="328">
        <v>3000</v>
      </c>
      <c r="V106" s="318">
        <f t="shared" si="21"/>
        <v>1350000</v>
      </c>
      <c r="W106" s="334"/>
    </row>
    <row r="107" spans="1:23">
      <c r="Q107" s="338"/>
      <c r="R107" s="327" t="s">
        <v>109</v>
      </c>
      <c r="S107" s="383">
        <v>42101</v>
      </c>
      <c r="T107" s="322">
        <v>150</v>
      </c>
      <c r="U107" s="328">
        <v>5500</v>
      </c>
      <c r="V107" s="318">
        <f t="shared" si="21"/>
        <v>825000</v>
      </c>
      <c r="W107" s="334"/>
    </row>
    <row r="108" spans="1:23">
      <c r="Q108" s="338"/>
      <c r="R108" s="327" t="s">
        <v>110</v>
      </c>
      <c r="S108" s="383">
        <v>42101</v>
      </c>
      <c r="T108" s="349">
        <v>500</v>
      </c>
      <c r="U108" s="349">
        <v>8465.3438901077934</v>
      </c>
      <c r="V108" s="318">
        <f t="shared" si="21"/>
        <v>4232671.9450538969</v>
      </c>
      <c r="W108" s="334"/>
    </row>
    <row r="109" spans="1:23">
      <c r="Q109" s="338"/>
      <c r="R109" s="327" t="s">
        <v>38</v>
      </c>
      <c r="S109" s="384">
        <v>42109</v>
      </c>
      <c r="T109" s="349">
        <v>150</v>
      </c>
      <c r="U109" s="328">
        <v>8500</v>
      </c>
      <c r="V109" s="318">
        <f t="shared" si="21"/>
        <v>1275000</v>
      </c>
      <c r="W109" s="334"/>
    </row>
    <row r="110" spans="1:23">
      <c r="Q110" s="338"/>
      <c r="R110" s="351" t="s">
        <v>54</v>
      </c>
      <c r="S110" s="384">
        <v>42109</v>
      </c>
      <c r="T110" s="349">
        <v>600</v>
      </c>
      <c r="U110" s="328">
        <v>323.05080427144196</v>
      </c>
      <c r="V110" s="318">
        <f t="shared" si="19"/>
        <v>193830.48256286519</v>
      </c>
      <c r="W110" s="334"/>
    </row>
    <row r="111" spans="1:23">
      <c r="Q111" s="338"/>
      <c r="R111" s="327" t="s">
        <v>107</v>
      </c>
      <c r="S111" s="384">
        <v>42109</v>
      </c>
      <c r="T111" s="349">
        <v>150</v>
      </c>
      <c r="U111" s="328">
        <v>15000</v>
      </c>
      <c r="V111" s="318">
        <f t="shared" si="19"/>
        <v>2250000</v>
      </c>
      <c r="W111" s="334"/>
    </row>
    <row r="112" spans="1:23">
      <c r="Q112" s="338"/>
      <c r="R112" s="385"/>
      <c r="S112" s="321"/>
      <c r="T112" s="322"/>
      <c r="U112" s="322"/>
      <c r="V112" s="334"/>
      <c r="W112" s="334"/>
    </row>
    <row r="113" spans="1:23">
      <c r="R113" s="372"/>
      <c r="S113" s="373"/>
      <c r="T113" s="374"/>
      <c r="U113" s="386"/>
      <c r="V113" s="355">
        <f>SUM(V101:V112)</f>
        <v>30088438.827616762</v>
      </c>
      <c r="W113" s="355">
        <f>SUM(W101:W112)</f>
        <v>0</v>
      </c>
    </row>
    <row r="114" spans="1:23">
      <c r="R114" s="375" t="s">
        <v>47</v>
      </c>
      <c r="S114" s="383">
        <v>42115</v>
      </c>
      <c r="T114" s="322">
        <v>1580</v>
      </c>
      <c r="U114" s="322">
        <v>5000</v>
      </c>
      <c r="V114" s="318">
        <f t="shared" ref="V114:V115" si="22">T114*U114</f>
        <v>7900000</v>
      </c>
      <c r="W114" s="318"/>
    </row>
    <row r="115" spans="1:23">
      <c r="R115" s="327" t="s">
        <v>63</v>
      </c>
      <c r="S115" s="383">
        <v>42119</v>
      </c>
      <c r="T115" s="328">
        <v>640</v>
      </c>
      <c r="U115" s="328">
        <v>18400</v>
      </c>
      <c r="V115" s="318">
        <f t="shared" si="22"/>
        <v>11776000</v>
      </c>
      <c r="W115" s="334"/>
    </row>
    <row r="116" spans="1:23">
      <c r="R116" s="349"/>
      <c r="S116" s="321"/>
      <c r="T116" s="328"/>
      <c r="U116" s="328"/>
      <c r="V116" s="334"/>
      <c r="W116" s="334"/>
    </row>
    <row r="117" spans="1:23">
      <c r="R117" s="349"/>
      <c r="S117" s="321"/>
      <c r="T117" s="328"/>
      <c r="U117" s="328"/>
      <c r="V117" s="387">
        <f>SUM(V114:V116)</f>
        <v>19676000</v>
      </c>
      <c r="W117" s="334"/>
    </row>
    <row r="118" spans="1:23" ht="18" customHeight="1">
      <c r="A118" s="292" t="s">
        <v>333</v>
      </c>
      <c r="B118" s="292"/>
      <c r="C118" s="293"/>
      <c r="D118" s="294"/>
      <c r="E118" s="294"/>
      <c r="F118" s="294"/>
      <c r="G118" s="291"/>
      <c r="H118" s="291"/>
      <c r="I118" s="291"/>
      <c r="J118" s="291"/>
      <c r="K118" s="291"/>
      <c r="L118" s="295"/>
      <c r="M118" s="291"/>
      <c r="N118" s="291"/>
      <c r="O118" s="296"/>
      <c r="P118" s="291"/>
      <c r="Q118" s="297"/>
      <c r="R118" s="291"/>
      <c r="S118" s="298"/>
    </row>
    <row r="119" spans="1:23" ht="18.75" customHeight="1">
      <c r="A119" s="299" t="s">
        <v>353</v>
      </c>
      <c r="B119" s="299"/>
      <c r="C119" s="299"/>
      <c r="D119" s="299"/>
      <c r="E119" s="299"/>
      <c r="F119" s="299"/>
      <c r="G119" s="299"/>
      <c r="H119" s="299"/>
      <c r="I119" s="299"/>
      <c r="J119" s="299"/>
      <c r="K119" s="299"/>
      <c r="L119" s="299"/>
      <c r="M119" s="299"/>
      <c r="N119" s="299"/>
      <c r="O119" s="299"/>
      <c r="P119" s="299"/>
      <c r="Q119" s="297"/>
      <c r="R119" s="291"/>
      <c r="S119" s="298"/>
    </row>
    <row r="120" spans="1:23" ht="18.75" customHeight="1">
      <c r="A120" s="300"/>
      <c r="B120" s="300"/>
      <c r="C120" s="301"/>
      <c r="D120" s="300"/>
      <c r="E120" s="300"/>
      <c r="F120" s="300"/>
      <c r="G120" s="300"/>
      <c r="H120" s="300"/>
      <c r="I120" s="300"/>
      <c r="J120" s="300"/>
      <c r="K120" s="300"/>
      <c r="L120" s="299"/>
      <c r="M120" s="300"/>
      <c r="N120" s="300"/>
      <c r="O120" s="302"/>
      <c r="P120" s="300"/>
      <c r="Q120" s="297"/>
      <c r="R120" s="291"/>
      <c r="S120" s="298"/>
    </row>
    <row r="121" spans="1:23" ht="12.75" customHeight="1">
      <c r="A121" s="303"/>
      <c r="B121" s="303"/>
      <c r="C121" s="304"/>
      <c r="D121" s="303"/>
      <c r="E121" s="303"/>
      <c r="F121" s="303"/>
      <c r="G121" s="303"/>
      <c r="H121" s="303"/>
      <c r="I121" s="303"/>
      <c r="J121" s="303"/>
      <c r="K121" s="303"/>
      <c r="L121" s="303"/>
      <c r="M121" s="303"/>
      <c r="N121" s="303"/>
      <c r="O121" s="305"/>
      <c r="P121" s="303"/>
      <c r="Q121" s="297"/>
      <c r="R121" s="291"/>
      <c r="S121" s="298"/>
    </row>
    <row r="122" spans="1:23" s="314" customFormat="1" ht="30.75" customHeight="1">
      <c r="A122" s="308" t="s">
        <v>30</v>
      </c>
      <c r="B122" s="308" t="s">
        <v>335</v>
      </c>
      <c r="C122" s="309" t="s">
        <v>336</v>
      </c>
      <c r="D122" s="310" t="s">
        <v>337</v>
      </c>
      <c r="E122" s="310" t="s">
        <v>347</v>
      </c>
      <c r="F122" s="310" t="s">
        <v>338</v>
      </c>
      <c r="G122" s="310" t="s">
        <v>339</v>
      </c>
      <c r="H122" s="310" t="s">
        <v>340</v>
      </c>
      <c r="I122" s="310" t="s">
        <v>341</v>
      </c>
      <c r="J122" s="310" t="s">
        <v>342</v>
      </c>
      <c r="K122" s="311" t="s">
        <v>343</v>
      </c>
      <c r="L122" s="310" t="s">
        <v>344</v>
      </c>
      <c r="M122" s="311" t="s">
        <v>345</v>
      </c>
      <c r="N122" s="310" t="s">
        <v>346</v>
      </c>
      <c r="O122" s="312" t="s">
        <v>347</v>
      </c>
      <c r="P122" s="310" t="s">
        <v>348</v>
      </c>
      <c r="Q122" s="313"/>
      <c r="R122" s="308" t="s">
        <v>335</v>
      </c>
      <c r="S122" s="310" t="s">
        <v>80</v>
      </c>
      <c r="T122" s="310" t="s">
        <v>64</v>
      </c>
      <c r="U122" s="310" t="s">
        <v>338</v>
      </c>
      <c r="V122" s="310" t="s">
        <v>111</v>
      </c>
      <c r="W122" s="308" t="s">
        <v>111</v>
      </c>
    </row>
    <row r="123" spans="1:23">
      <c r="A123" s="315">
        <f>IF(B123&lt;&gt;"",ROW()-(ROW()-1),"")</f>
        <v>1</v>
      </c>
      <c r="B123" s="37" t="s">
        <v>113</v>
      </c>
      <c r="C123" s="317">
        <v>8</v>
      </c>
      <c r="D123" s="69">
        <f t="shared" ref="D123:D124" si="23">ROUND(C123*O123,0)</f>
        <v>108864</v>
      </c>
      <c r="E123" s="69"/>
      <c r="F123" s="69">
        <v>16000</v>
      </c>
      <c r="G123" s="318">
        <f t="shared" ref="G123:G124" si="24">(D123+E123)*F123</f>
        <v>1741824000</v>
      </c>
      <c r="H123" s="69">
        <f>IF($D$126&lt;&gt;0,H$126/$D$126*$D123,0)</f>
        <v>8544915.2491307892</v>
      </c>
      <c r="I123" s="69">
        <f>IF($D$126&lt;&gt;0,I$126/($D$126+$E$126/4)*($D123+$E123/4),0)</f>
        <v>102684216.61903508</v>
      </c>
      <c r="J123" s="69">
        <f>IF($D$126&lt;&gt;0,J$126/$D$126*$D123,0)</f>
        <v>76072412.498011112</v>
      </c>
      <c r="K123" s="69">
        <f>IF($D$126&lt;&gt;0,K$126/$D$126*$D123,0)</f>
        <v>113100939.47238429</v>
      </c>
      <c r="L123" s="318">
        <f>V132+V133</f>
        <v>39000000</v>
      </c>
      <c r="M123" s="69" t="e">
        <f>34560000/($O$101+#REF!+#REF!)*O123</f>
        <v>#REF!</v>
      </c>
      <c r="N123" s="318">
        <f t="shared" ref="N123" si="25">ROUND(SUM(G123:L123),0)</f>
        <v>2081226484</v>
      </c>
      <c r="O123" s="69">
        <f>6440+7168</f>
        <v>13608</v>
      </c>
      <c r="P123" s="69">
        <f t="shared" ref="P123:P124" si="26">IF(N123&lt;&gt;0,N123/O123,0)</f>
        <v>152941.39359200469</v>
      </c>
      <c r="Q123" s="338"/>
      <c r="R123" s="327" t="s">
        <v>41</v>
      </c>
      <c r="S123" s="383">
        <v>42133</v>
      </c>
      <c r="T123" s="322">
        <v>250</v>
      </c>
      <c r="U123" s="328">
        <v>3500</v>
      </c>
      <c r="V123" s="318">
        <f t="shared" ref="V123:V124" si="27">T123*U123</f>
        <v>875000</v>
      </c>
      <c r="W123" s="334"/>
    </row>
    <row r="124" spans="1:23">
      <c r="A124" s="315">
        <f t="shared" ref="A124" si="28">IF(B124&lt;&gt;"",A123+1,"")</f>
        <v>2</v>
      </c>
      <c r="B124" s="41" t="s">
        <v>126</v>
      </c>
      <c r="C124" s="325">
        <v>4.5</v>
      </c>
      <c r="D124" s="69">
        <f t="shared" si="23"/>
        <v>35438</v>
      </c>
      <c r="E124" s="69"/>
      <c r="F124" s="69">
        <v>17000</v>
      </c>
      <c r="G124" s="318">
        <f t="shared" si="24"/>
        <v>602446000</v>
      </c>
      <c r="H124" s="69">
        <f>IF($D$126&lt;&gt;0,H$126/$D$126*$D124,0)</f>
        <v>2781587.1784859723</v>
      </c>
      <c r="I124" s="69">
        <f>IF($D$126&lt;&gt;0,I$126/($D$126+$E$126/4)*($D124+$E124/4),0)</f>
        <v>33426323.380964924</v>
      </c>
      <c r="J124" s="69">
        <f>IF($D$126&lt;&gt;0,J$126/$D$126*$D124,0)</f>
        <v>24763504.501988884</v>
      </c>
      <c r="K124" s="69">
        <f>IF($D$126&lt;&gt;0,K$126/$D$126*$D124,0)</f>
        <v>36817231.527615689</v>
      </c>
      <c r="L124" s="69">
        <f>V134</f>
        <v>6772500</v>
      </c>
      <c r="M124" s="69"/>
      <c r="N124" s="318">
        <f>ROUND(SUM(G124:L124),0)-1</f>
        <v>707007146</v>
      </c>
      <c r="O124" s="326">
        <v>7875</v>
      </c>
      <c r="P124" s="69">
        <f t="shared" si="26"/>
        <v>89778.685206349212</v>
      </c>
      <c r="Q124" s="338"/>
      <c r="R124" s="327" t="s">
        <v>108</v>
      </c>
      <c r="S124" s="383">
        <v>42133</v>
      </c>
      <c r="T124" s="322">
        <v>450</v>
      </c>
      <c r="U124" s="328">
        <v>3000</v>
      </c>
      <c r="V124" s="318">
        <f t="shared" si="27"/>
        <v>1350000</v>
      </c>
      <c r="W124" s="334"/>
    </row>
    <row r="125" spans="1:23" s="339" customFormat="1">
      <c r="A125" s="315" t="str">
        <f>IF(B125&lt;&gt;"",#REF!+1,"")</f>
        <v/>
      </c>
      <c r="B125" s="330"/>
      <c r="C125" s="331"/>
      <c r="D125" s="332"/>
      <c r="E125" s="332"/>
      <c r="F125" s="332"/>
      <c r="G125" s="333"/>
      <c r="H125" s="332"/>
      <c r="I125" s="377"/>
      <c r="J125" s="334"/>
      <c r="K125" s="332"/>
      <c r="L125" s="335"/>
      <c r="M125" s="332"/>
      <c r="N125" s="336"/>
      <c r="O125" s="337"/>
      <c r="P125" s="332"/>
      <c r="Q125" s="338"/>
      <c r="R125" s="327" t="s">
        <v>109</v>
      </c>
      <c r="S125" s="383">
        <v>42133</v>
      </c>
      <c r="T125" s="322">
        <v>150</v>
      </c>
      <c r="U125" s="328">
        <v>5500</v>
      </c>
      <c r="V125" s="318">
        <f t="shared" ref="V125:V129" si="29">T125*U125</f>
        <v>825000</v>
      </c>
      <c r="W125" s="334"/>
    </row>
    <row r="126" spans="1:23" s="292" customFormat="1">
      <c r="A126" s="340"/>
      <c r="B126" s="341" t="s">
        <v>349</v>
      </c>
      <c r="C126" s="342"/>
      <c r="D126" s="343">
        <f>SUM(D123:D124)</f>
        <v>144302</v>
      </c>
      <c r="E126" s="343">
        <f>SUM(E123:E124)</f>
        <v>0</v>
      </c>
      <c r="F126" s="343"/>
      <c r="G126" s="343">
        <f>SUM(G123:G124)</f>
        <v>2344270000</v>
      </c>
      <c r="H126" s="344">
        <f>V131</f>
        <v>11326502.427616762</v>
      </c>
      <c r="I126" s="344">
        <v>136110540</v>
      </c>
      <c r="J126" s="344">
        <v>100835917</v>
      </c>
      <c r="K126" s="344">
        <v>149918171</v>
      </c>
      <c r="L126" s="343">
        <f>ROUND(SUM(L123:L125),0)</f>
        <v>45772500</v>
      </c>
      <c r="M126" s="343" t="e">
        <f>ROUND(SUM(M123:M125),0)</f>
        <v>#REF!</v>
      </c>
      <c r="N126" s="343">
        <f>ROUND(SUM(N123:N125),0)</f>
        <v>2788233630</v>
      </c>
      <c r="O126" s="343">
        <f>ROUND(SUM(O123:O125),0)</f>
        <v>21483</v>
      </c>
      <c r="P126" s="343"/>
      <c r="Q126" s="338"/>
      <c r="R126" s="327" t="s">
        <v>110</v>
      </c>
      <c r="S126" s="383">
        <v>42133</v>
      </c>
      <c r="T126" s="349">
        <v>500</v>
      </c>
      <c r="U126" s="349">
        <v>8465.3438901077934</v>
      </c>
      <c r="V126" s="318">
        <f t="shared" si="29"/>
        <v>4232671.9450538969</v>
      </c>
      <c r="W126" s="334"/>
    </row>
    <row r="127" spans="1:23">
      <c r="Q127" s="338"/>
      <c r="R127" s="327" t="s">
        <v>38</v>
      </c>
      <c r="S127" s="384">
        <v>42139</v>
      </c>
      <c r="T127" s="349">
        <v>100</v>
      </c>
      <c r="U127" s="328">
        <v>8500</v>
      </c>
      <c r="V127" s="318">
        <f t="shared" si="29"/>
        <v>850000</v>
      </c>
      <c r="W127" s="334"/>
    </row>
    <row r="128" spans="1:23">
      <c r="Q128" s="338"/>
      <c r="R128" s="351" t="s">
        <v>54</v>
      </c>
      <c r="S128" s="384">
        <v>42139</v>
      </c>
      <c r="T128" s="349">
        <v>600</v>
      </c>
      <c r="U128" s="328">
        <v>323.05080427144196</v>
      </c>
      <c r="V128" s="318">
        <f t="shared" si="29"/>
        <v>193830.48256286519</v>
      </c>
      <c r="W128" s="334"/>
    </row>
    <row r="129" spans="1:23">
      <c r="Q129" s="338"/>
      <c r="R129" s="327" t="s">
        <v>107</v>
      </c>
      <c r="S129" s="384">
        <v>42139</v>
      </c>
      <c r="T129" s="349">
        <v>200</v>
      </c>
      <c r="U129" s="328">
        <v>15000</v>
      </c>
      <c r="V129" s="318">
        <f t="shared" si="29"/>
        <v>3000000</v>
      </c>
      <c r="W129" s="334"/>
    </row>
    <row r="130" spans="1:23">
      <c r="Q130" s="338"/>
      <c r="R130" s="385"/>
      <c r="S130" s="321"/>
      <c r="T130" s="322"/>
      <c r="U130" s="322"/>
      <c r="V130" s="334"/>
      <c r="W130" s="334"/>
    </row>
    <row r="131" spans="1:23">
      <c r="R131" s="372"/>
      <c r="S131" s="373"/>
      <c r="T131" s="374"/>
      <c r="U131" s="386"/>
      <c r="V131" s="343">
        <f>SUM(V123:V130)</f>
        <v>11326502.427616762</v>
      </c>
      <c r="W131" s="355">
        <f>SUM(W123:W130)</f>
        <v>0</v>
      </c>
    </row>
    <row r="132" spans="1:23">
      <c r="R132" s="375" t="s">
        <v>380</v>
      </c>
      <c r="S132" s="383">
        <v>42141</v>
      </c>
      <c r="T132" s="322">
        <v>2000</v>
      </c>
      <c r="U132" s="322">
        <v>2500</v>
      </c>
      <c r="V132" s="318">
        <f t="shared" ref="V132:V135" si="30">T132*U132</f>
        <v>5000000</v>
      </c>
      <c r="W132" s="318"/>
    </row>
    <row r="133" spans="1:23">
      <c r="R133" s="425" t="s">
        <v>101</v>
      </c>
      <c r="S133" s="383">
        <v>42141</v>
      </c>
      <c r="T133" s="328">
        <v>2000</v>
      </c>
      <c r="U133" s="328">
        <v>17000</v>
      </c>
      <c r="V133" s="318">
        <f t="shared" si="30"/>
        <v>34000000</v>
      </c>
      <c r="W133" s="334"/>
    </row>
    <row r="134" spans="1:23">
      <c r="R134" s="327" t="s">
        <v>98</v>
      </c>
      <c r="S134" s="383">
        <v>42141</v>
      </c>
      <c r="T134" s="328">
        <v>525</v>
      </c>
      <c r="U134" s="328">
        <v>12900</v>
      </c>
      <c r="V134" s="318">
        <f>T134*U134</f>
        <v>6772500</v>
      </c>
      <c r="W134" s="334"/>
    </row>
    <row r="135" spans="1:23">
      <c r="R135" s="349"/>
      <c r="S135" s="321"/>
      <c r="T135" s="328"/>
      <c r="U135" s="328"/>
      <c r="V135" s="318">
        <f t="shared" si="30"/>
        <v>0</v>
      </c>
      <c r="W135" s="334"/>
    </row>
    <row r="136" spans="1:23">
      <c r="R136" s="349"/>
      <c r="S136" s="321"/>
      <c r="T136" s="328"/>
      <c r="U136" s="328"/>
      <c r="V136" s="387">
        <f>SUM(V132:V135)</f>
        <v>45772500</v>
      </c>
      <c r="W136" s="334"/>
    </row>
    <row r="137" spans="1:23">
      <c r="R137" s="297"/>
      <c r="S137" s="376"/>
      <c r="T137" s="307"/>
      <c r="U137" s="307"/>
      <c r="V137" s="347"/>
      <c r="W137" s="364"/>
    </row>
    <row r="138" spans="1:23" ht="18" customHeight="1">
      <c r="A138" s="292" t="s">
        <v>333</v>
      </c>
      <c r="B138" s="292"/>
      <c r="C138" s="293"/>
      <c r="D138" s="294"/>
      <c r="E138" s="294"/>
      <c r="F138" s="294"/>
      <c r="G138" s="291"/>
      <c r="H138" s="291"/>
      <c r="I138" s="291"/>
      <c r="J138" s="291"/>
      <c r="K138" s="291"/>
      <c r="L138" s="295"/>
      <c r="M138" s="291"/>
      <c r="N138" s="291"/>
      <c r="O138" s="296"/>
      <c r="P138" s="291"/>
      <c r="Q138" s="297"/>
      <c r="R138" s="291"/>
      <c r="S138" s="298"/>
    </row>
    <row r="139" spans="1:23" ht="18.75" customHeight="1">
      <c r="A139" s="299" t="s">
        <v>354</v>
      </c>
      <c r="B139" s="299"/>
      <c r="C139" s="299"/>
      <c r="D139" s="299"/>
      <c r="E139" s="299"/>
      <c r="F139" s="299"/>
      <c r="G139" s="299"/>
      <c r="H139" s="299"/>
      <c r="I139" s="299"/>
      <c r="J139" s="299"/>
      <c r="K139" s="299"/>
      <c r="L139" s="299"/>
      <c r="M139" s="299"/>
      <c r="N139" s="299"/>
      <c r="O139" s="299"/>
      <c r="P139" s="299"/>
      <c r="Q139" s="297"/>
      <c r="R139" s="291"/>
      <c r="S139" s="298"/>
    </row>
    <row r="140" spans="1:23" ht="18.75" customHeight="1">
      <c r="A140" s="300"/>
      <c r="B140" s="300"/>
      <c r="C140" s="301"/>
      <c r="D140" s="300"/>
      <c r="E140" s="300"/>
      <c r="F140" s="300"/>
      <c r="G140" s="300"/>
      <c r="H140" s="300"/>
      <c r="I140" s="300"/>
      <c r="J140" s="300"/>
      <c r="K140" s="300"/>
      <c r="L140" s="299"/>
      <c r="M140" s="300"/>
      <c r="N140" s="300"/>
      <c r="O140" s="302"/>
      <c r="P140" s="300"/>
      <c r="Q140" s="297"/>
      <c r="R140" s="291"/>
      <c r="S140" s="298"/>
    </row>
    <row r="141" spans="1:23" ht="12.75" customHeight="1">
      <c r="A141" s="303"/>
      <c r="B141" s="303"/>
      <c r="C141" s="304"/>
      <c r="D141" s="303"/>
      <c r="E141" s="303"/>
      <c r="F141" s="303"/>
      <c r="G141" s="303"/>
      <c r="H141" s="303"/>
      <c r="I141" s="303"/>
      <c r="J141" s="303"/>
      <c r="K141" s="303"/>
      <c r="L141" s="303"/>
      <c r="M141" s="303"/>
      <c r="N141" s="303"/>
      <c r="O141" s="305"/>
      <c r="P141" s="303"/>
      <c r="Q141" s="297"/>
      <c r="R141" s="291"/>
      <c r="S141" s="298"/>
    </row>
    <row r="142" spans="1:23" s="314" customFormat="1" ht="30.75" customHeight="1">
      <c r="A142" s="308" t="s">
        <v>30</v>
      </c>
      <c r="B142" s="308" t="s">
        <v>335</v>
      </c>
      <c r="C142" s="309" t="s">
        <v>336</v>
      </c>
      <c r="D142" s="310" t="s">
        <v>337</v>
      </c>
      <c r="E142" s="310" t="s">
        <v>347</v>
      </c>
      <c r="F142" s="310" t="s">
        <v>338</v>
      </c>
      <c r="G142" s="310" t="s">
        <v>339</v>
      </c>
      <c r="H142" s="310" t="s">
        <v>340</v>
      </c>
      <c r="I142" s="310" t="s">
        <v>341</v>
      </c>
      <c r="J142" s="310" t="s">
        <v>342</v>
      </c>
      <c r="K142" s="311" t="s">
        <v>343</v>
      </c>
      <c r="L142" s="310" t="s">
        <v>344</v>
      </c>
      <c r="M142" s="311" t="s">
        <v>345</v>
      </c>
      <c r="N142" s="310" t="s">
        <v>346</v>
      </c>
      <c r="O142" s="312" t="s">
        <v>347</v>
      </c>
      <c r="P142" s="310" t="s">
        <v>348</v>
      </c>
      <c r="Q142" s="313"/>
      <c r="R142" s="308" t="s">
        <v>335</v>
      </c>
      <c r="S142" s="310" t="s">
        <v>80</v>
      </c>
      <c r="T142" s="310" t="s">
        <v>64</v>
      </c>
      <c r="U142" s="310" t="s">
        <v>338</v>
      </c>
      <c r="V142" s="310" t="s">
        <v>111</v>
      </c>
      <c r="W142" s="308" t="s">
        <v>111</v>
      </c>
    </row>
    <row r="143" spans="1:23">
      <c r="A143" s="315">
        <f>IF(B143&lt;&gt;"",ROW()-(ROW()-1),"")</f>
        <v>1</v>
      </c>
      <c r="B143" s="388" t="s">
        <v>381</v>
      </c>
      <c r="C143" s="317">
        <v>4.5</v>
      </c>
      <c r="D143" s="69">
        <f t="shared" ref="D143:D146" si="31">ROUND(C143*O143,0)</f>
        <v>47250</v>
      </c>
      <c r="E143" s="69"/>
      <c r="F143" s="69">
        <v>12000</v>
      </c>
      <c r="G143" s="318">
        <f t="shared" ref="G143:G146" si="32">D143*F143</f>
        <v>567000000</v>
      </c>
      <c r="H143" s="69">
        <f>IF($D$148&lt;&gt;0,H$148/$D$148*$D143,0)</f>
        <v>13167953.341812275</v>
      </c>
      <c r="I143" s="69">
        <f>IF($D$148&lt;&gt;0,I$148/($D$148+$E$148/4)*($D143+$E143/4),0)</f>
        <v>29581978.298153032</v>
      </c>
      <c r="J143" s="69">
        <f t="shared" ref="J143:K146" si="33">IF($D$148&lt;&gt;0,J$148/$D$148*$D143,0)</f>
        <v>14679925.676121373</v>
      </c>
      <c r="K143" s="69">
        <f t="shared" si="33"/>
        <v>31150543.44656992</v>
      </c>
      <c r="L143" s="318">
        <f>V158</f>
        <v>12240000</v>
      </c>
      <c r="M143" s="69" t="e">
        <f>34560000/($O$101+#REF!+#REF!)*O143</f>
        <v>#REF!</v>
      </c>
      <c r="N143" s="318">
        <f t="shared" ref="N143:N145" si="34">ROUND(SUM(G143:L143),0)</f>
        <v>667820401</v>
      </c>
      <c r="O143" s="69">
        <v>10500</v>
      </c>
      <c r="P143" s="69">
        <f t="shared" ref="P143:P146" si="35">IF(N143&lt;&gt;0,N143/O143,0)</f>
        <v>63601.942952380952</v>
      </c>
      <c r="Q143" s="338"/>
      <c r="R143" s="320" t="s">
        <v>39</v>
      </c>
      <c r="S143" s="383">
        <v>42157</v>
      </c>
      <c r="T143" s="322">
        <v>200</v>
      </c>
      <c r="U143" s="323">
        <v>31000</v>
      </c>
      <c r="V143" s="318">
        <f t="shared" ref="V143:V155" si="36">T143*U143</f>
        <v>6200000</v>
      </c>
      <c r="W143" s="318"/>
    </row>
    <row r="144" spans="1:23">
      <c r="A144" s="315">
        <f t="shared" ref="A144:A146" si="37">IF(B144&lt;&gt;"",A143+1,"")</f>
        <v>2</v>
      </c>
      <c r="B144" s="316" t="s">
        <v>96</v>
      </c>
      <c r="C144" s="325">
        <v>8</v>
      </c>
      <c r="D144" s="69">
        <f t="shared" si="31"/>
        <v>14400</v>
      </c>
      <c r="E144" s="69"/>
      <c r="F144" s="69">
        <v>24500</v>
      </c>
      <c r="G144" s="318">
        <f t="shared" si="32"/>
        <v>352800000</v>
      </c>
      <c r="H144" s="69">
        <f>IF($D$148&lt;&gt;0,H$148/$D$148*$D144,0)</f>
        <v>4013090.542266598</v>
      </c>
      <c r="I144" s="69">
        <f>IF($D$148&lt;&gt;0,I$148/($D$148+$E$148/4)*($D144+$E144/4),0)</f>
        <v>9015460.0527704488</v>
      </c>
      <c r="J144" s="69">
        <f t="shared" si="33"/>
        <v>4473882.1108179418</v>
      </c>
      <c r="K144" s="69">
        <f t="shared" si="33"/>
        <v>9493498.9551451188</v>
      </c>
      <c r="L144" s="69">
        <f>V159</f>
        <v>3200000</v>
      </c>
      <c r="M144" s="69"/>
      <c r="N144" s="318">
        <f t="shared" si="34"/>
        <v>382995932</v>
      </c>
      <c r="O144" s="326">
        <v>1800</v>
      </c>
      <c r="P144" s="69">
        <f t="shared" si="35"/>
        <v>212775.51777777777</v>
      </c>
      <c r="Q144" s="338"/>
      <c r="R144" s="327" t="s">
        <v>49</v>
      </c>
      <c r="S144" s="383">
        <v>42157</v>
      </c>
      <c r="T144" s="322">
        <v>125</v>
      </c>
      <c r="U144" s="328">
        <v>46741.2</v>
      </c>
      <c r="V144" s="318">
        <f t="shared" si="36"/>
        <v>5842650</v>
      </c>
      <c r="W144" s="334"/>
    </row>
    <row r="145" spans="1:23">
      <c r="A145" s="315">
        <f t="shared" si="37"/>
        <v>3</v>
      </c>
      <c r="B145" s="316" t="s">
        <v>382</v>
      </c>
      <c r="C145" s="325">
        <v>11</v>
      </c>
      <c r="D145" s="69">
        <f>ROUND(C145*O145,0)</f>
        <v>132000</v>
      </c>
      <c r="E145" s="69"/>
      <c r="F145" s="69">
        <v>11000</v>
      </c>
      <c r="G145" s="318">
        <f>D145*F145</f>
        <v>1452000000</v>
      </c>
      <c r="H145" s="69">
        <f>IF($D$148&lt;&gt;0,H$148/$D$148*$D145,0)</f>
        <v>36786663.304110482</v>
      </c>
      <c r="I145" s="69">
        <f>IF($D$148&lt;&gt;0,I$148/($D$148+$E$148/4)*($D145+$E145/4),0)</f>
        <v>82641717.150395781</v>
      </c>
      <c r="J145" s="69">
        <f t="shared" si="33"/>
        <v>41010586.015831135</v>
      </c>
      <c r="K145" s="69">
        <f t="shared" si="33"/>
        <v>87023740.422163591</v>
      </c>
      <c r="L145" s="69">
        <f>V160+V161</f>
        <v>25960000</v>
      </c>
      <c r="M145" s="69">
        <v>25840000</v>
      </c>
      <c r="N145" s="318">
        <f t="shared" si="34"/>
        <v>1725422707</v>
      </c>
      <c r="O145" s="326">
        <v>12000</v>
      </c>
      <c r="P145" s="69">
        <f t="shared" si="35"/>
        <v>143785.22558333335</v>
      </c>
      <c r="Q145" s="338"/>
      <c r="R145" s="327" t="s">
        <v>40</v>
      </c>
      <c r="S145" s="383">
        <v>42157</v>
      </c>
      <c r="T145" s="322">
        <v>200</v>
      </c>
      <c r="U145" s="328">
        <v>11666.666999999999</v>
      </c>
      <c r="V145" s="318">
        <f t="shared" si="36"/>
        <v>2333333.4</v>
      </c>
      <c r="W145" s="334"/>
    </row>
    <row r="146" spans="1:23">
      <c r="A146" s="315">
        <f t="shared" si="37"/>
        <v>4</v>
      </c>
      <c r="B146" s="41" t="s">
        <v>126</v>
      </c>
      <c r="C146" s="325">
        <v>4.5</v>
      </c>
      <c r="D146" s="69">
        <f t="shared" si="31"/>
        <v>33750</v>
      </c>
      <c r="E146" s="69"/>
      <c r="F146" s="69">
        <v>17500</v>
      </c>
      <c r="G146" s="318">
        <f t="shared" si="32"/>
        <v>590625000</v>
      </c>
      <c r="H146" s="69">
        <f>IF($D$148&lt;&gt;0,H$148/$D$148*$D146,0)</f>
        <v>9405680.9584373385</v>
      </c>
      <c r="I146" s="69">
        <f>IF($D$148&lt;&gt;0,I$148/($D$148+$E$148/4)*($D146+$E146/4),0)</f>
        <v>21129984.498680737</v>
      </c>
      <c r="J146" s="69">
        <f t="shared" si="33"/>
        <v>10485661.197229551</v>
      </c>
      <c r="K146" s="69">
        <f t="shared" si="33"/>
        <v>22250388.176121373</v>
      </c>
      <c r="L146" s="69">
        <f>V162</f>
        <v>10370000</v>
      </c>
      <c r="M146" s="69" t="e">
        <f>34560000/($O$101+#REF!+#REF!)*O146</f>
        <v>#REF!</v>
      </c>
      <c r="N146" s="318">
        <f>ROUND(SUM(G146:L146),0)-1</f>
        <v>664266714</v>
      </c>
      <c r="O146" s="326">
        <f>9150-1650</f>
        <v>7500</v>
      </c>
      <c r="P146" s="69">
        <f t="shared" si="35"/>
        <v>88568.895199999999</v>
      </c>
      <c r="Q146" s="338"/>
      <c r="R146" s="327" t="s">
        <v>66</v>
      </c>
      <c r="S146" s="383">
        <v>42162</v>
      </c>
      <c r="T146" s="349">
        <v>100</v>
      </c>
      <c r="U146" s="328">
        <v>21131.31</v>
      </c>
      <c r="V146" s="318">
        <f t="shared" si="36"/>
        <v>2113131</v>
      </c>
      <c r="W146" s="334"/>
    </row>
    <row r="147" spans="1:23">
      <c r="A147" s="315" t="str">
        <f>IF(B147&lt;&gt;"",#REF!+1,"")</f>
        <v/>
      </c>
      <c r="B147" s="330"/>
      <c r="C147" s="331"/>
      <c r="D147" s="332"/>
      <c r="E147" s="332"/>
      <c r="F147" s="332"/>
      <c r="G147" s="333"/>
      <c r="H147" s="332"/>
      <c r="I147" s="377"/>
      <c r="J147" s="334"/>
      <c r="K147" s="332"/>
      <c r="L147" s="335"/>
      <c r="M147" s="332"/>
      <c r="N147" s="318"/>
      <c r="O147" s="337"/>
      <c r="P147" s="332"/>
      <c r="Q147" s="338"/>
      <c r="R147" s="327" t="s">
        <v>41</v>
      </c>
      <c r="S147" s="383">
        <v>42162</v>
      </c>
      <c r="T147" s="322">
        <v>250</v>
      </c>
      <c r="U147" s="328">
        <v>3500</v>
      </c>
      <c r="V147" s="318">
        <f t="shared" si="36"/>
        <v>875000</v>
      </c>
      <c r="W147" s="334"/>
    </row>
    <row r="148" spans="1:23">
      <c r="A148" s="340"/>
      <c r="B148" s="341" t="s">
        <v>349</v>
      </c>
      <c r="C148" s="342"/>
      <c r="D148" s="343">
        <f>SUM(D143:D146)</f>
        <v>227400</v>
      </c>
      <c r="E148" s="343"/>
      <c r="F148" s="343"/>
      <c r="G148" s="343">
        <f>SUM(G143:G146)</f>
        <v>2962425000</v>
      </c>
      <c r="H148" s="344">
        <f>V157</f>
        <v>63373388.146626696</v>
      </c>
      <c r="I148" s="344">
        <v>142369140</v>
      </c>
      <c r="J148" s="344">
        <v>70650055</v>
      </c>
      <c r="K148" s="344">
        <v>149918171</v>
      </c>
      <c r="L148" s="343">
        <f>ROUND(SUM(L143:L147),0)</f>
        <v>51770000</v>
      </c>
      <c r="M148" s="343" t="e">
        <f>ROUND(SUM(M143:M147),0)</f>
        <v>#REF!</v>
      </c>
      <c r="N148" s="343">
        <f>ROUND(SUM(N143:N147),0)</f>
        <v>3440505754</v>
      </c>
      <c r="O148" s="343">
        <f>ROUND(SUM(O143:O147),0)</f>
        <v>31800</v>
      </c>
      <c r="P148" s="343"/>
      <c r="Q148" s="338"/>
      <c r="R148" s="327" t="s">
        <v>108</v>
      </c>
      <c r="S148" s="383">
        <v>42162</v>
      </c>
      <c r="T148" s="322">
        <v>450</v>
      </c>
      <c r="U148" s="328">
        <v>3000</v>
      </c>
      <c r="V148" s="318">
        <f t="shared" si="36"/>
        <v>1350000</v>
      </c>
      <c r="W148" s="334"/>
    </row>
    <row r="149" spans="1:23" s="339" customFormat="1">
      <c r="A149" s="288"/>
      <c r="B149" s="288"/>
      <c r="C149" s="288"/>
      <c r="D149" s="288"/>
      <c r="E149" s="288"/>
      <c r="F149" s="288"/>
      <c r="G149" s="288"/>
      <c r="H149" s="288"/>
      <c r="I149" s="288"/>
      <c r="J149" s="288"/>
      <c r="K149" s="288"/>
      <c r="L149" s="288"/>
      <c r="M149" s="288"/>
      <c r="N149" s="288"/>
      <c r="O149" s="288"/>
      <c r="P149" s="288"/>
      <c r="Q149" s="338"/>
      <c r="R149" s="327" t="s">
        <v>109</v>
      </c>
      <c r="S149" s="383">
        <v>42162</v>
      </c>
      <c r="T149" s="322">
        <v>190</v>
      </c>
      <c r="U149" s="328">
        <v>5500</v>
      </c>
      <c r="V149" s="318">
        <f t="shared" si="36"/>
        <v>1045000</v>
      </c>
      <c r="W149" s="334"/>
    </row>
    <row r="150" spans="1:23" s="292" customFormat="1">
      <c r="A150" s="288"/>
      <c r="B150" s="288"/>
      <c r="C150" s="288"/>
      <c r="D150" s="288"/>
      <c r="E150" s="288"/>
      <c r="F150" s="288"/>
      <c r="G150" s="288"/>
      <c r="H150" s="288"/>
      <c r="I150" s="288"/>
      <c r="J150" s="288"/>
      <c r="K150" s="288"/>
      <c r="L150" s="288"/>
      <c r="M150" s="288"/>
      <c r="N150" s="288"/>
      <c r="O150" s="288"/>
      <c r="P150" s="288"/>
      <c r="Q150" s="338"/>
      <c r="R150" s="327" t="s">
        <v>110</v>
      </c>
      <c r="S150" s="383">
        <v>42157</v>
      </c>
      <c r="T150" s="349">
        <v>2500</v>
      </c>
      <c r="U150" s="349">
        <v>8465.3438901077934</v>
      </c>
      <c r="V150" s="318">
        <f t="shared" si="36"/>
        <v>21163359.725269485</v>
      </c>
      <c r="W150" s="334"/>
    </row>
    <row r="151" spans="1:23">
      <c r="Q151" s="338"/>
      <c r="R151" s="327" t="s">
        <v>38</v>
      </c>
      <c r="S151" s="384">
        <v>42169</v>
      </c>
      <c r="T151" s="349">
        <v>300</v>
      </c>
      <c r="U151" s="328">
        <v>8500</v>
      </c>
      <c r="V151" s="318">
        <f t="shared" si="36"/>
        <v>2550000</v>
      </c>
      <c r="W151" s="334"/>
    </row>
    <row r="152" spans="1:23">
      <c r="Q152" s="338"/>
      <c r="R152" s="37" t="s">
        <v>58</v>
      </c>
      <c r="S152" s="384">
        <v>42169</v>
      </c>
      <c r="T152" s="322">
        <v>250</v>
      </c>
      <c r="U152" s="322">
        <v>34000</v>
      </c>
      <c r="V152" s="318">
        <f t="shared" si="36"/>
        <v>8500000</v>
      </c>
      <c r="W152" s="334"/>
    </row>
    <row r="153" spans="1:23">
      <c r="Q153" s="338"/>
      <c r="R153" s="327" t="s">
        <v>123</v>
      </c>
      <c r="S153" s="384">
        <v>42169</v>
      </c>
      <c r="T153" s="322">
        <v>190</v>
      </c>
      <c r="U153" s="322">
        <v>35714</v>
      </c>
      <c r="V153" s="318">
        <f t="shared" si="36"/>
        <v>6785660</v>
      </c>
      <c r="W153" s="334"/>
    </row>
    <row r="154" spans="1:23">
      <c r="Q154" s="338"/>
      <c r="R154" s="351" t="s">
        <v>54</v>
      </c>
      <c r="S154" s="384">
        <v>42169</v>
      </c>
      <c r="T154" s="349">
        <v>5000</v>
      </c>
      <c r="U154" s="328">
        <v>323.05080427144196</v>
      </c>
      <c r="V154" s="318">
        <f t="shared" si="36"/>
        <v>1615254.0213572099</v>
      </c>
      <c r="W154" s="334"/>
    </row>
    <row r="155" spans="1:23">
      <c r="Q155" s="338"/>
      <c r="R155" s="327" t="s">
        <v>107</v>
      </c>
      <c r="S155" s="383">
        <v>42157</v>
      </c>
      <c r="T155" s="349">
        <v>200</v>
      </c>
      <c r="U155" s="328">
        <v>15000</v>
      </c>
      <c r="V155" s="318">
        <f t="shared" si="36"/>
        <v>3000000</v>
      </c>
      <c r="W155" s="334"/>
    </row>
    <row r="156" spans="1:23">
      <c r="Q156" s="338"/>
      <c r="R156" s="37"/>
      <c r="S156" s="321"/>
      <c r="T156" s="322"/>
      <c r="U156" s="322"/>
      <c r="V156" s="318"/>
      <c r="W156" s="334"/>
    </row>
    <row r="157" spans="1:23">
      <c r="R157" s="372"/>
      <c r="S157" s="373"/>
      <c r="T157" s="374"/>
      <c r="U157" s="386"/>
      <c r="V157" s="343">
        <f>SUM(V143:V156)</f>
        <v>63373388.146626696</v>
      </c>
      <c r="W157" s="355">
        <f>SUM(W143:W156)</f>
        <v>0</v>
      </c>
    </row>
    <row r="158" spans="1:23">
      <c r="R158" s="375" t="s">
        <v>101</v>
      </c>
      <c r="S158" s="383">
        <v>42170</v>
      </c>
      <c r="T158" s="322">
        <v>720</v>
      </c>
      <c r="U158" s="322">
        <v>17000</v>
      </c>
      <c r="V158" s="318">
        <f t="shared" ref="V158:V163" si="38">T158*U158</f>
        <v>12240000</v>
      </c>
      <c r="W158" s="318"/>
    </row>
    <row r="159" spans="1:23">
      <c r="R159" s="327" t="s">
        <v>100</v>
      </c>
      <c r="S159" s="383">
        <v>42172</v>
      </c>
      <c r="T159" s="328">
        <v>160</v>
      </c>
      <c r="U159" s="328">
        <v>20000</v>
      </c>
      <c r="V159" s="318">
        <f t="shared" si="38"/>
        <v>3200000</v>
      </c>
      <c r="W159" s="334"/>
    </row>
    <row r="160" spans="1:23">
      <c r="R160" s="327" t="s">
        <v>276</v>
      </c>
      <c r="S160" s="383">
        <v>42174</v>
      </c>
      <c r="T160" s="328">
        <v>625</v>
      </c>
      <c r="U160" s="328">
        <v>12000</v>
      </c>
      <c r="V160" s="318">
        <f t="shared" si="38"/>
        <v>7500000</v>
      </c>
      <c r="W160" s="334"/>
    </row>
    <row r="161" spans="1:23">
      <c r="R161" s="327" t="s">
        <v>276</v>
      </c>
      <c r="S161" s="383">
        <v>42174</v>
      </c>
      <c r="T161" s="328">
        <v>1300</v>
      </c>
      <c r="U161" s="328">
        <v>14200</v>
      </c>
      <c r="V161" s="318">
        <f t="shared" si="38"/>
        <v>18460000</v>
      </c>
      <c r="W161" s="334"/>
    </row>
    <row r="162" spans="1:23">
      <c r="R162" s="375" t="s">
        <v>101</v>
      </c>
      <c r="S162" s="383">
        <v>42180</v>
      </c>
      <c r="T162" s="322">
        <v>610</v>
      </c>
      <c r="U162" s="322">
        <v>17000</v>
      </c>
      <c r="V162" s="318">
        <f t="shared" si="38"/>
        <v>10370000</v>
      </c>
      <c r="W162" s="334"/>
    </row>
    <row r="163" spans="1:23">
      <c r="R163" s="349"/>
      <c r="S163" s="321"/>
      <c r="T163" s="328"/>
      <c r="U163" s="328"/>
      <c r="V163" s="318">
        <f t="shared" si="38"/>
        <v>0</v>
      </c>
      <c r="W163" s="334"/>
    </row>
    <row r="164" spans="1:23">
      <c r="R164" s="349"/>
      <c r="S164" s="321"/>
      <c r="T164" s="328"/>
      <c r="U164" s="328"/>
      <c r="V164" s="387">
        <f>SUM(V158:V163)</f>
        <v>51770000</v>
      </c>
      <c r="W164" s="334"/>
    </row>
    <row r="165" spans="1:23" ht="12.75" customHeight="1">
      <c r="A165" s="307"/>
      <c r="B165" s="307"/>
      <c r="C165" s="389"/>
      <c r="D165" s="307"/>
      <c r="E165" s="444"/>
      <c r="F165" s="307"/>
      <c r="G165" s="307"/>
      <c r="H165" s="307"/>
      <c r="I165" s="307"/>
      <c r="J165" s="307"/>
      <c r="K165" s="307"/>
      <c r="L165" s="307"/>
      <c r="M165" s="307"/>
      <c r="N165" s="307"/>
      <c r="O165" s="363"/>
      <c r="P165" s="307"/>
      <c r="Q165" s="297"/>
      <c r="R165" s="291"/>
      <c r="S165" s="298"/>
    </row>
    <row r="166" spans="1:23" ht="18" customHeight="1">
      <c r="A166" s="292" t="s">
        <v>333</v>
      </c>
      <c r="B166" s="292"/>
      <c r="C166" s="390"/>
      <c r="D166" s="294"/>
      <c r="E166" s="294"/>
      <c r="F166" s="294"/>
      <c r="G166" s="291"/>
      <c r="H166" s="291"/>
      <c r="I166" s="291"/>
      <c r="J166" s="291"/>
      <c r="K166" s="291"/>
      <c r="L166" s="295"/>
      <c r="M166" s="291"/>
      <c r="N166" s="291"/>
      <c r="O166" s="296"/>
      <c r="P166" s="291"/>
      <c r="Q166" s="297"/>
      <c r="R166" s="291"/>
      <c r="S166" s="298"/>
    </row>
    <row r="167" spans="1:23" ht="18.75" customHeight="1">
      <c r="A167" s="299" t="s">
        <v>355</v>
      </c>
      <c r="B167" s="299"/>
      <c r="C167" s="299"/>
      <c r="D167" s="299"/>
      <c r="E167" s="299"/>
      <c r="F167" s="299"/>
      <c r="G167" s="299"/>
      <c r="H167" s="299"/>
      <c r="I167" s="299"/>
      <c r="J167" s="299"/>
      <c r="K167" s="299"/>
      <c r="L167" s="299"/>
      <c r="M167" s="299"/>
      <c r="N167" s="299"/>
      <c r="O167" s="299"/>
      <c r="P167" s="299"/>
      <c r="Q167" s="297"/>
      <c r="R167" s="291"/>
      <c r="S167" s="298"/>
    </row>
    <row r="168" spans="1:23" ht="18.75" customHeight="1">
      <c r="A168" s="300"/>
      <c r="B168" s="300"/>
      <c r="C168" s="301"/>
      <c r="D168" s="300"/>
      <c r="E168" s="300"/>
      <c r="F168" s="300"/>
      <c r="G168" s="300"/>
      <c r="H168" s="300"/>
      <c r="I168" s="300"/>
      <c r="J168" s="300"/>
      <c r="K168" s="300"/>
      <c r="L168" s="299"/>
      <c r="M168" s="300"/>
      <c r="N168" s="300"/>
      <c r="O168" s="302"/>
      <c r="P168" s="300"/>
      <c r="Q168" s="297"/>
      <c r="R168" s="291"/>
      <c r="S168" s="298"/>
    </row>
    <row r="169" spans="1:23" ht="12.75" customHeight="1">
      <c r="A169" s="303"/>
      <c r="B169" s="303"/>
      <c r="C169" s="304"/>
      <c r="D169" s="303"/>
      <c r="E169" s="303"/>
      <c r="F169" s="303"/>
      <c r="G169" s="303"/>
      <c r="H169" s="303"/>
      <c r="I169" s="303"/>
      <c r="J169" s="303"/>
      <c r="K169" s="303"/>
      <c r="L169" s="303"/>
      <c r="M169" s="303"/>
      <c r="N169" s="303"/>
      <c r="O169" s="305"/>
      <c r="P169" s="303"/>
      <c r="Q169" s="297"/>
      <c r="R169" s="291"/>
      <c r="S169" s="298"/>
    </row>
    <row r="170" spans="1:23" s="314" customFormat="1" ht="30.75" customHeight="1">
      <c r="A170" s="308" t="s">
        <v>30</v>
      </c>
      <c r="B170" s="308" t="s">
        <v>335</v>
      </c>
      <c r="C170" s="309" t="s">
        <v>336</v>
      </c>
      <c r="D170" s="310" t="s">
        <v>337</v>
      </c>
      <c r="E170" s="310" t="s">
        <v>347</v>
      </c>
      <c r="F170" s="310" t="s">
        <v>338</v>
      </c>
      <c r="G170" s="310" t="s">
        <v>339</v>
      </c>
      <c r="H170" s="310" t="s">
        <v>340</v>
      </c>
      <c r="I170" s="310" t="s">
        <v>341</v>
      </c>
      <c r="J170" s="310" t="s">
        <v>342</v>
      </c>
      <c r="K170" s="311" t="s">
        <v>343</v>
      </c>
      <c r="L170" s="310" t="s">
        <v>344</v>
      </c>
      <c r="M170" s="311" t="s">
        <v>345</v>
      </c>
      <c r="N170" s="310" t="s">
        <v>346</v>
      </c>
      <c r="O170" s="312" t="s">
        <v>347</v>
      </c>
      <c r="P170" s="310" t="s">
        <v>348</v>
      </c>
      <c r="Q170" s="313"/>
      <c r="R170" s="308" t="s">
        <v>335</v>
      </c>
      <c r="S170" s="310" t="s">
        <v>80</v>
      </c>
      <c r="T170" s="310" t="s">
        <v>64</v>
      </c>
      <c r="U170" s="310" t="s">
        <v>338</v>
      </c>
      <c r="V170" s="310" t="s">
        <v>111</v>
      </c>
      <c r="W170" s="308" t="s">
        <v>111</v>
      </c>
    </row>
    <row r="171" spans="1:23">
      <c r="A171" s="315">
        <f>IF(B171&lt;&gt;"",ROW()-(ROW()-1),"")</f>
        <v>1</v>
      </c>
      <c r="B171" s="316" t="s">
        <v>165</v>
      </c>
      <c r="C171" s="317">
        <v>11</v>
      </c>
      <c r="D171" s="69">
        <f t="shared" ref="D171:D174" si="39">ROUND(C171*O171,0)</f>
        <v>49500</v>
      </c>
      <c r="E171" s="69"/>
      <c r="F171" s="69">
        <v>14500</v>
      </c>
      <c r="G171" s="318">
        <f t="shared" ref="G171:G174" si="40">D171*F171</f>
        <v>717750000</v>
      </c>
      <c r="H171" s="69">
        <f>IF($D$175&lt;&gt;0,H$175/$D$175*$D171,0)</f>
        <v>17568485.836166155</v>
      </c>
      <c r="I171" s="69">
        <f>IF($D$175&lt;&gt;0,I$175/($D$175+$E$175/4)*($D171+$E171/4),0)</f>
        <v>56065720.257261418</v>
      </c>
      <c r="J171" s="69">
        <f t="shared" ref="J171:K174" si="41">IF($D$175&lt;&gt;0,J$175/$D$175*$D171,0)</f>
        <v>39853642.518672198</v>
      </c>
      <c r="K171" s="69">
        <f t="shared" si="41"/>
        <v>61584642.858921163</v>
      </c>
      <c r="L171" s="318">
        <f>V183</f>
        <v>6000000</v>
      </c>
      <c r="M171" s="69" t="e">
        <f>34560000/($O$101+#REF!+#REF!)*O171</f>
        <v>#REF!</v>
      </c>
      <c r="N171" s="318">
        <f t="shared" ref="N171:N174" si="42">ROUND(SUM(G171:L171),0)</f>
        <v>898822491</v>
      </c>
      <c r="O171" s="69">
        <v>4500</v>
      </c>
      <c r="P171" s="69">
        <f t="shared" ref="P171:P174" si="43">IF(N171&lt;&gt;0,N171/O171,0)</f>
        <v>199738.33133333334</v>
      </c>
      <c r="Q171" s="338"/>
      <c r="R171" s="320" t="s">
        <v>39</v>
      </c>
      <c r="S171" s="383">
        <v>42190</v>
      </c>
      <c r="T171" s="322">
        <v>200</v>
      </c>
      <c r="U171" s="323">
        <v>31000</v>
      </c>
      <c r="V171" s="318">
        <f t="shared" ref="V171:V180" si="44">T171*U171</f>
        <v>6200000</v>
      </c>
      <c r="W171" s="318"/>
    </row>
    <row r="172" spans="1:23">
      <c r="A172" s="315">
        <f t="shared" ref="A172:A173" si="45">IF(B172&lt;&gt;"",A171+1,"")</f>
        <v>2</v>
      </c>
      <c r="B172" s="37" t="s">
        <v>113</v>
      </c>
      <c r="C172" s="325">
        <v>8</v>
      </c>
      <c r="D172" s="69">
        <f t="shared" si="39"/>
        <v>16000</v>
      </c>
      <c r="E172" s="69"/>
      <c r="F172" s="69">
        <v>15000</v>
      </c>
      <c r="G172" s="318">
        <f t="shared" si="40"/>
        <v>240000000</v>
      </c>
      <c r="H172" s="69">
        <f>IF($D$175&lt;&gt;0,H$175/$D$175*$D172,0)</f>
        <v>5678702.492498151</v>
      </c>
      <c r="I172" s="69">
        <f>IF($D$175&lt;&gt;0,I$175/($D$175+$E$175/4)*($D172+$E172/4),0)</f>
        <v>18122253.012448136</v>
      </c>
      <c r="J172" s="69">
        <f t="shared" si="41"/>
        <v>12881985.460580911</v>
      </c>
      <c r="K172" s="69">
        <f t="shared" si="41"/>
        <v>19906147.186721992</v>
      </c>
      <c r="L172" s="69">
        <f>V184+V185</f>
        <v>5070000</v>
      </c>
      <c r="M172" s="69"/>
      <c r="N172" s="318">
        <f t="shared" si="42"/>
        <v>301659088</v>
      </c>
      <c r="O172" s="326">
        <v>2000</v>
      </c>
      <c r="P172" s="69">
        <f t="shared" si="43"/>
        <v>150829.54399999999</v>
      </c>
      <c r="Q172" s="338"/>
      <c r="R172" s="327" t="s">
        <v>49</v>
      </c>
      <c r="S172" s="383">
        <v>42190</v>
      </c>
      <c r="T172" s="322">
        <v>125</v>
      </c>
      <c r="U172" s="328">
        <v>46741.2</v>
      </c>
      <c r="V172" s="318">
        <f t="shared" si="44"/>
        <v>5842650</v>
      </c>
      <c r="W172" s="334"/>
    </row>
    <row r="173" spans="1:23">
      <c r="A173" s="315">
        <f t="shared" si="45"/>
        <v>3</v>
      </c>
      <c r="B173" s="316" t="s">
        <v>382</v>
      </c>
      <c r="C173" s="325">
        <v>11</v>
      </c>
      <c r="D173" s="69">
        <f t="shared" si="39"/>
        <v>55000</v>
      </c>
      <c r="E173" s="69"/>
      <c r="F173" s="69">
        <v>10500</v>
      </c>
      <c r="G173" s="318">
        <f t="shared" si="40"/>
        <v>577500000</v>
      </c>
      <c r="H173" s="69">
        <f>IF($D$175&lt;&gt;0,H$175/$D$175*$D173,0)</f>
        <v>19520539.817962393</v>
      </c>
      <c r="I173" s="69">
        <f>IF($D$175&lt;&gt;0,I$175/($D$175+$E$175/4)*($D173+$E173/4),0)</f>
        <v>62295244.730290465</v>
      </c>
      <c r="J173" s="69">
        <f t="shared" si="41"/>
        <v>44281825.020746887</v>
      </c>
      <c r="K173" s="69">
        <f t="shared" si="41"/>
        <v>68427380.954356849</v>
      </c>
      <c r="L173" s="69">
        <f>V186</f>
        <v>11700000</v>
      </c>
      <c r="M173" s="69">
        <v>25840000</v>
      </c>
      <c r="N173" s="318">
        <f t="shared" si="42"/>
        <v>783724991</v>
      </c>
      <c r="O173" s="326">
        <v>5000</v>
      </c>
      <c r="P173" s="69">
        <f t="shared" si="43"/>
        <v>156744.9982</v>
      </c>
      <c r="Q173" s="338"/>
      <c r="R173" s="327" t="s">
        <v>40</v>
      </c>
      <c r="S173" s="383">
        <v>42190</v>
      </c>
      <c r="T173" s="322">
        <v>200</v>
      </c>
      <c r="U173" s="328">
        <v>11666.666999999999</v>
      </c>
      <c r="V173" s="318">
        <f t="shared" si="44"/>
        <v>2333333.4</v>
      </c>
      <c r="W173" s="334"/>
    </row>
    <row r="174" spans="1:23">
      <c r="A174" s="315" t="str">
        <f>IF(B174&lt;&gt;"",#REF!+1,"")</f>
        <v/>
      </c>
      <c r="B174" s="316"/>
      <c r="C174" s="325"/>
      <c r="D174" s="69">
        <f t="shared" si="39"/>
        <v>0</v>
      </c>
      <c r="E174" s="69"/>
      <c r="F174" s="69"/>
      <c r="G174" s="318">
        <f t="shared" si="40"/>
        <v>0</v>
      </c>
      <c r="H174" s="69">
        <f>IF($D$175&lt;&gt;0,H$175/$D$175*$D174,0)</f>
        <v>0</v>
      </c>
      <c r="I174" s="69">
        <f>IF($D$175&lt;&gt;0,I$175/($D$175+$E$175/4)*($D174+$E174/4),0)</f>
        <v>0</v>
      </c>
      <c r="J174" s="69">
        <f t="shared" si="41"/>
        <v>0</v>
      </c>
      <c r="K174" s="69">
        <f t="shared" si="41"/>
        <v>0</v>
      </c>
      <c r="L174" s="69"/>
      <c r="M174" s="69" t="e">
        <f>34560000/($O$101+#REF!+#REF!)*O174</f>
        <v>#REF!</v>
      </c>
      <c r="N174" s="318">
        <f t="shared" si="42"/>
        <v>0</v>
      </c>
      <c r="O174" s="326"/>
      <c r="P174" s="69">
        <f t="shared" si="43"/>
        <v>0</v>
      </c>
      <c r="Q174" s="338"/>
      <c r="R174" s="327" t="s">
        <v>66</v>
      </c>
      <c r="S174" s="383">
        <v>42192</v>
      </c>
      <c r="T174" s="349">
        <v>100</v>
      </c>
      <c r="U174" s="328">
        <v>21131.31</v>
      </c>
      <c r="V174" s="318">
        <f t="shared" si="44"/>
        <v>2113131</v>
      </c>
      <c r="W174" s="334"/>
    </row>
    <row r="175" spans="1:23">
      <c r="A175" s="340"/>
      <c r="B175" s="341" t="s">
        <v>349</v>
      </c>
      <c r="C175" s="342"/>
      <c r="D175" s="343">
        <f>SUM(D171:D174)</f>
        <v>120500</v>
      </c>
      <c r="E175" s="343"/>
      <c r="F175" s="343"/>
      <c r="G175" s="343">
        <f>SUM(G171:G174)</f>
        <v>1535250000</v>
      </c>
      <c r="H175" s="344">
        <f>V182</f>
        <v>42767728.146626696</v>
      </c>
      <c r="I175" s="344">
        <v>136483218</v>
      </c>
      <c r="J175" s="344">
        <v>97017453</v>
      </c>
      <c r="K175" s="344">
        <v>149918171</v>
      </c>
      <c r="L175" s="343">
        <f>ROUND(SUM(L171:L174),0)</f>
        <v>22770000</v>
      </c>
      <c r="M175" s="343" t="e">
        <f>ROUND(SUM(M171:M174),0)</f>
        <v>#REF!</v>
      </c>
      <c r="N175" s="343">
        <f>ROUND(SUM(N171:N174),0)</f>
        <v>1984206570</v>
      </c>
      <c r="O175" s="343">
        <f>ROUND(SUM(O171:O174),0)</f>
        <v>11500</v>
      </c>
      <c r="P175" s="343"/>
      <c r="Q175" s="338"/>
      <c r="R175" s="327" t="s">
        <v>41</v>
      </c>
      <c r="S175" s="383">
        <v>42192</v>
      </c>
      <c r="T175" s="322">
        <v>250</v>
      </c>
      <c r="U175" s="328">
        <v>3500</v>
      </c>
      <c r="V175" s="318">
        <f t="shared" si="44"/>
        <v>875000</v>
      </c>
      <c r="W175" s="334"/>
    </row>
    <row r="176" spans="1:23">
      <c r="Q176" s="338"/>
      <c r="R176" s="327" t="s">
        <v>108</v>
      </c>
      <c r="S176" s="383">
        <v>42192</v>
      </c>
      <c r="T176" s="322">
        <v>450</v>
      </c>
      <c r="U176" s="328">
        <v>3000</v>
      </c>
      <c r="V176" s="318">
        <f t="shared" si="44"/>
        <v>1350000</v>
      </c>
      <c r="W176" s="334"/>
    </row>
    <row r="177" spans="1:23" s="292" customFormat="1">
      <c r="A177" s="288"/>
      <c r="B177" s="288"/>
      <c r="C177" s="288"/>
      <c r="D177" s="288"/>
      <c r="E177" s="288"/>
      <c r="F177" s="288"/>
      <c r="G177" s="288"/>
      <c r="H177" s="288"/>
      <c r="I177" s="288"/>
      <c r="J177" s="288"/>
      <c r="K177" s="288"/>
      <c r="L177" s="288"/>
      <c r="M177" s="288"/>
      <c r="N177" s="288"/>
      <c r="O177" s="288"/>
      <c r="P177" s="288"/>
      <c r="Q177" s="338"/>
      <c r="R177" s="327" t="s">
        <v>110</v>
      </c>
      <c r="S177" s="383">
        <v>42190</v>
      </c>
      <c r="T177" s="349">
        <v>2500</v>
      </c>
      <c r="U177" s="349">
        <v>8465.3438901077934</v>
      </c>
      <c r="V177" s="318">
        <f t="shared" si="44"/>
        <v>21163359.725269485</v>
      </c>
      <c r="W177" s="334"/>
    </row>
    <row r="178" spans="1:23">
      <c r="Q178" s="338"/>
      <c r="R178" s="327" t="s">
        <v>38</v>
      </c>
      <c r="S178" s="384">
        <v>42205</v>
      </c>
      <c r="T178" s="349">
        <v>150</v>
      </c>
      <c r="U178" s="328">
        <v>8500</v>
      </c>
      <c r="V178" s="318">
        <f t="shared" si="44"/>
        <v>1275000</v>
      </c>
      <c r="W178" s="334"/>
    </row>
    <row r="179" spans="1:23">
      <c r="Q179" s="338"/>
      <c r="R179" s="37" t="s">
        <v>58</v>
      </c>
      <c r="S179" s="383">
        <v>42190</v>
      </c>
      <c r="T179" s="322">
        <v>250</v>
      </c>
      <c r="U179" s="322">
        <v>34000</v>
      </c>
      <c r="V179" s="318"/>
      <c r="W179" s="334"/>
    </row>
    <row r="180" spans="1:23">
      <c r="Q180" s="338"/>
      <c r="R180" s="351" t="s">
        <v>54</v>
      </c>
      <c r="S180" s="384">
        <v>42205</v>
      </c>
      <c r="T180" s="349">
        <v>5000</v>
      </c>
      <c r="U180" s="328">
        <v>323.05080427144196</v>
      </c>
      <c r="V180" s="318">
        <f t="shared" si="44"/>
        <v>1615254.0213572099</v>
      </c>
      <c r="W180" s="334"/>
    </row>
    <row r="181" spans="1:23">
      <c r="Q181" s="338"/>
      <c r="R181" s="37"/>
      <c r="S181" s="321"/>
      <c r="T181" s="322"/>
      <c r="U181" s="322"/>
      <c r="V181" s="334"/>
      <c r="W181" s="334"/>
    </row>
    <row r="182" spans="1:23">
      <c r="R182" s="372"/>
      <c r="S182" s="373"/>
      <c r="T182" s="374"/>
      <c r="U182" s="386"/>
      <c r="V182" s="343">
        <f>SUM(V171:V181)</f>
        <v>42767728.146626696</v>
      </c>
      <c r="W182" s="355">
        <f>SUM(W171:W181)</f>
        <v>0</v>
      </c>
    </row>
    <row r="183" spans="1:23">
      <c r="R183" s="375" t="s">
        <v>276</v>
      </c>
      <c r="S183" s="383">
        <v>42205</v>
      </c>
      <c r="T183" s="322">
        <v>500</v>
      </c>
      <c r="U183" s="322">
        <v>12000</v>
      </c>
      <c r="V183" s="318">
        <f t="shared" ref="V183:V187" si="46">T183*U183</f>
        <v>6000000</v>
      </c>
      <c r="W183" s="318"/>
    </row>
    <row r="184" spans="1:23">
      <c r="R184" s="327" t="s">
        <v>101</v>
      </c>
      <c r="S184" s="383">
        <v>42205</v>
      </c>
      <c r="T184" s="328">
        <v>260</v>
      </c>
      <c r="U184" s="328">
        <v>17000</v>
      </c>
      <c r="V184" s="318">
        <f t="shared" si="46"/>
        <v>4420000</v>
      </c>
      <c r="W184" s="334"/>
    </row>
    <row r="185" spans="1:23">
      <c r="R185" s="327" t="s">
        <v>380</v>
      </c>
      <c r="S185" s="383">
        <v>42205</v>
      </c>
      <c r="T185" s="328">
        <v>260</v>
      </c>
      <c r="U185" s="328">
        <v>2500</v>
      </c>
      <c r="V185" s="318">
        <f t="shared" si="46"/>
        <v>650000</v>
      </c>
      <c r="W185" s="334"/>
    </row>
    <row r="186" spans="1:23">
      <c r="R186" s="327" t="s">
        <v>104</v>
      </c>
      <c r="S186" s="383">
        <v>42212</v>
      </c>
      <c r="T186" s="328">
        <v>2600</v>
      </c>
      <c r="U186" s="328">
        <v>4500</v>
      </c>
      <c r="V186" s="318">
        <f t="shared" si="46"/>
        <v>11700000</v>
      </c>
      <c r="W186" s="334"/>
    </row>
    <row r="187" spans="1:23">
      <c r="R187" s="327"/>
      <c r="S187" s="383"/>
      <c r="T187" s="328"/>
      <c r="U187" s="328"/>
      <c r="V187" s="318">
        <f t="shared" si="46"/>
        <v>0</v>
      </c>
      <c r="W187" s="334"/>
    </row>
    <row r="188" spans="1:23">
      <c r="R188" s="349"/>
      <c r="S188" s="321"/>
      <c r="T188" s="328"/>
      <c r="U188" s="328"/>
      <c r="V188" s="387">
        <f>SUM(V183:V187)</f>
        <v>22770000</v>
      </c>
      <c r="W188" s="334"/>
    </row>
    <row r="189" spans="1:23" ht="16.5" customHeight="1">
      <c r="A189" s="292" t="s">
        <v>333</v>
      </c>
      <c r="B189" s="292"/>
      <c r="C189" s="293"/>
      <c r="D189" s="294"/>
      <c r="E189" s="294"/>
      <c r="F189" s="294"/>
      <c r="G189" s="291"/>
      <c r="H189" s="291"/>
      <c r="I189" s="291"/>
      <c r="J189" s="291"/>
      <c r="K189" s="291"/>
      <c r="L189" s="295"/>
      <c r="M189" s="291"/>
      <c r="N189" s="291"/>
      <c r="O189" s="296"/>
      <c r="P189" s="291"/>
      <c r="R189" s="291"/>
      <c r="S189" s="298"/>
    </row>
    <row r="190" spans="1:23" ht="16.5" customHeight="1">
      <c r="A190" s="299" t="s">
        <v>356</v>
      </c>
      <c r="B190" s="299"/>
      <c r="C190" s="299"/>
      <c r="D190" s="299"/>
      <c r="E190" s="299"/>
      <c r="F190" s="299"/>
      <c r="G190" s="299"/>
      <c r="H190" s="299"/>
      <c r="I190" s="299"/>
      <c r="J190" s="299"/>
      <c r="K190" s="299"/>
      <c r="L190" s="299"/>
      <c r="M190" s="299"/>
      <c r="N190" s="299"/>
      <c r="O190" s="299"/>
      <c r="P190" s="299"/>
      <c r="Q190" s="297"/>
      <c r="R190" s="291"/>
      <c r="S190" s="298"/>
    </row>
    <row r="191" spans="1:23" ht="11.25" customHeight="1">
      <c r="A191" s="300"/>
      <c r="B191" s="300"/>
      <c r="C191" s="301"/>
      <c r="D191" s="300"/>
      <c r="E191" s="300"/>
      <c r="F191" s="300"/>
      <c r="G191" s="300"/>
      <c r="H191" s="300"/>
      <c r="I191" s="300"/>
      <c r="J191" s="300"/>
      <c r="K191" s="300"/>
      <c r="L191" s="299"/>
      <c r="M191" s="300"/>
      <c r="N191" s="300"/>
      <c r="O191" s="302"/>
      <c r="P191" s="300"/>
      <c r="Q191" s="297"/>
      <c r="R191" s="291"/>
      <c r="S191" s="298"/>
    </row>
    <row r="192" spans="1:23" ht="11.25" customHeight="1">
      <c r="A192" s="303"/>
      <c r="B192" s="303"/>
      <c r="C192" s="304"/>
      <c r="D192" s="303"/>
      <c r="E192" s="303"/>
      <c r="F192" s="303"/>
      <c r="G192" s="303"/>
      <c r="H192" s="303"/>
      <c r="I192" s="303"/>
      <c r="J192" s="303"/>
      <c r="K192" s="303"/>
      <c r="L192" s="303"/>
      <c r="M192" s="303"/>
      <c r="N192" s="303"/>
      <c r="O192" s="305"/>
      <c r="P192" s="303"/>
      <c r="Q192" s="297"/>
      <c r="R192" s="291"/>
      <c r="S192" s="298"/>
    </row>
    <row r="193" spans="1:23" ht="28.5" customHeight="1">
      <c r="A193" s="308" t="s">
        <v>30</v>
      </c>
      <c r="B193" s="308" t="s">
        <v>335</v>
      </c>
      <c r="C193" s="309" t="s">
        <v>336</v>
      </c>
      <c r="D193" s="310" t="s">
        <v>337</v>
      </c>
      <c r="E193" s="310" t="s">
        <v>347</v>
      </c>
      <c r="F193" s="310" t="s">
        <v>338</v>
      </c>
      <c r="G193" s="310" t="s">
        <v>339</v>
      </c>
      <c r="H193" s="310" t="s">
        <v>340</v>
      </c>
      <c r="I193" s="310" t="s">
        <v>341</v>
      </c>
      <c r="J193" s="310" t="s">
        <v>342</v>
      </c>
      <c r="K193" s="311" t="s">
        <v>343</v>
      </c>
      <c r="L193" s="310" t="s">
        <v>344</v>
      </c>
      <c r="M193" s="311" t="s">
        <v>345</v>
      </c>
      <c r="N193" s="310" t="s">
        <v>346</v>
      </c>
      <c r="O193" s="312" t="s">
        <v>347</v>
      </c>
      <c r="P193" s="310" t="s">
        <v>348</v>
      </c>
      <c r="Q193" s="297"/>
      <c r="R193" s="308" t="s">
        <v>335</v>
      </c>
      <c r="S193" s="310" t="s">
        <v>80</v>
      </c>
      <c r="T193" s="310" t="s">
        <v>64</v>
      </c>
      <c r="U193" s="310" t="s">
        <v>338</v>
      </c>
      <c r="V193" s="310" t="s">
        <v>111</v>
      </c>
      <c r="W193" s="308" t="s">
        <v>111</v>
      </c>
    </row>
    <row r="194" spans="1:23" s="314" customFormat="1" ht="12" customHeight="1">
      <c r="A194" s="315">
        <f>IF(B194&lt;&gt;"",ROW()-(ROW()-1),"")</f>
        <v>1</v>
      </c>
      <c r="B194" s="316" t="s">
        <v>382</v>
      </c>
      <c r="C194" s="317"/>
      <c r="D194" s="69">
        <f t="shared" ref="D194:D197" si="47">ROUND(C194*O194,0)</f>
        <v>0</v>
      </c>
      <c r="E194" s="69">
        <v>5000</v>
      </c>
      <c r="F194" s="69">
        <f>P173</f>
        <v>156744.9982</v>
      </c>
      <c r="G194" s="318">
        <f>(D194+E194)*F194</f>
        <v>783724991</v>
      </c>
      <c r="H194" s="69">
        <f>IF($D$199&lt;&gt;0,H$199/$D$199*$D194,0)</f>
        <v>0</v>
      </c>
      <c r="I194" s="69">
        <f>IF($D$199&lt;&gt;0,I$199/($D$199+$E$199/5)*($D194+$E194/5),0)</f>
        <v>779727.02702702698</v>
      </c>
      <c r="J194" s="69">
        <f t="shared" ref="J194:K197" si="48">IF($D$199&lt;&gt;0,J$199/$D$199*$D194,0)</f>
        <v>0</v>
      </c>
      <c r="K194" s="69">
        <f t="shared" si="48"/>
        <v>0</v>
      </c>
      <c r="L194" s="318">
        <f>V207</f>
        <v>7810000</v>
      </c>
      <c r="M194" s="69" t="e">
        <f>34560000/($O$101+#REF!+#REF!)*O194</f>
        <v>#REF!</v>
      </c>
      <c r="N194" s="318">
        <f>ROUND(SUM(G194:L194),0)+1</f>
        <v>792314719</v>
      </c>
      <c r="O194" s="69">
        <v>5000</v>
      </c>
      <c r="P194" s="69">
        <f t="shared" ref="P194:P197" si="49">IF(N194&lt;&gt;0,N194/O194,0)</f>
        <v>158462.94380000001</v>
      </c>
      <c r="Q194" s="313"/>
      <c r="R194" s="320" t="s">
        <v>39</v>
      </c>
      <c r="S194" s="383">
        <v>42221</v>
      </c>
      <c r="T194" s="322">
        <v>150</v>
      </c>
      <c r="U194" s="323">
        <v>31000</v>
      </c>
      <c r="V194" s="318">
        <f t="shared" ref="V194" si="50">T194*U194</f>
        <v>4650000</v>
      </c>
      <c r="W194" s="318"/>
    </row>
    <row r="195" spans="1:23" ht="12" customHeight="1">
      <c r="A195" s="315">
        <f t="shared" ref="A195:A197" si="51">IF(B195&lt;&gt;"",A194+1,"")</f>
        <v>2</v>
      </c>
      <c r="B195" s="316" t="s">
        <v>382</v>
      </c>
      <c r="C195" s="325">
        <v>11</v>
      </c>
      <c r="D195" s="69">
        <f t="shared" si="47"/>
        <v>77000</v>
      </c>
      <c r="E195" s="69"/>
      <c r="F195" s="69">
        <v>11500</v>
      </c>
      <c r="G195" s="318">
        <f t="shared" ref="G195:G197" si="52">(D195+E195)*F195</f>
        <v>885500000</v>
      </c>
      <c r="H195" s="69">
        <f>IF($D$199&lt;&gt;0,H$199/$D$199*$D195,0)</f>
        <v>27157741.284704767</v>
      </c>
      <c r="I195" s="69">
        <f>IF($D$199&lt;&gt;0,I$199/($D$199+$E$199/5)*($D195+$E195/5),0)</f>
        <v>60038981.081081077</v>
      </c>
      <c r="J195" s="69">
        <f t="shared" si="48"/>
        <v>57896874.368778832</v>
      </c>
      <c r="K195" s="69">
        <f t="shared" si="48"/>
        <v>70063724.004612774</v>
      </c>
      <c r="L195" s="69">
        <f>V208</f>
        <v>10875000</v>
      </c>
      <c r="M195" s="69">
        <v>25840000</v>
      </c>
      <c r="N195" s="318">
        <f t="shared" ref="N195:N197" si="53">ROUND(SUM(G195:L195),0)</f>
        <v>1111532321</v>
      </c>
      <c r="O195" s="326">
        <v>7000</v>
      </c>
      <c r="P195" s="69">
        <f t="shared" si="49"/>
        <v>158790.33157142857</v>
      </c>
      <c r="Q195" s="338"/>
      <c r="R195" s="327" t="s">
        <v>49</v>
      </c>
      <c r="S195" s="383">
        <v>42221</v>
      </c>
      <c r="T195" s="322">
        <v>125</v>
      </c>
      <c r="U195" s="328">
        <v>46741.2</v>
      </c>
      <c r="V195" s="318">
        <f t="shared" ref="V195:V204" si="54">T195*U195</f>
        <v>5842650</v>
      </c>
      <c r="W195" s="334"/>
    </row>
    <row r="196" spans="1:23" ht="12" customHeight="1">
      <c r="A196" s="315">
        <f t="shared" si="51"/>
        <v>3</v>
      </c>
      <c r="B196" s="316" t="s">
        <v>113</v>
      </c>
      <c r="C196" s="325">
        <v>8</v>
      </c>
      <c r="D196" s="69">
        <f>ROUND(C196*O196,0)</f>
        <v>39360</v>
      </c>
      <c r="E196" s="69"/>
      <c r="F196" s="69">
        <v>16000</v>
      </c>
      <c r="G196" s="318">
        <f>(D196+E196)*F196</f>
        <v>629760000</v>
      </c>
      <c r="H196" s="69">
        <f>IF($D$199&lt;&gt;0,H$199/$D$199*$D196,0)</f>
        <v>13882190.869688047</v>
      </c>
      <c r="I196" s="69">
        <f>IF($D$199&lt;&gt;0,I$199/($D$199+$E$199/5)*($D196+$E196/5),0)</f>
        <v>30690055.783783782</v>
      </c>
      <c r="J196" s="69">
        <f t="shared" si="48"/>
        <v>29595077.599417336</v>
      </c>
      <c r="K196" s="69">
        <f t="shared" si="48"/>
        <v>35814391.906773493</v>
      </c>
      <c r="L196" s="69">
        <f>V209+V210</f>
        <v>12285000</v>
      </c>
      <c r="M196" s="69" t="e">
        <f>34560000/($O$101+#REF!+#REF!)*O196</f>
        <v>#REF!</v>
      </c>
      <c r="N196" s="318">
        <f>ROUND(SUM(G196:L196),0)</f>
        <v>752026716</v>
      </c>
      <c r="O196" s="326">
        <f>2880+2040</f>
        <v>4920</v>
      </c>
      <c r="P196" s="69">
        <f>IF(N196&lt;&gt;0,N196/O196,0)</f>
        <v>152850.95853658536</v>
      </c>
      <c r="Q196" s="338"/>
      <c r="R196" s="327" t="s">
        <v>41</v>
      </c>
      <c r="S196" s="383">
        <v>42221</v>
      </c>
      <c r="T196" s="322">
        <v>150</v>
      </c>
      <c r="U196" s="328">
        <v>3500</v>
      </c>
      <c r="V196" s="318">
        <f>T196*U196</f>
        <v>525000</v>
      </c>
      <c r="W196" s="334"/>
    </row>
    <row r="197" spans="1:23" ht="12" customHeight="1">
      <c r="A197" s="315">
        <f t="shared" si="51"/>
        <v>4</v>
      </c>
      <c r="B197" s="316" t="s">
        <v>382</v>
      </c>
      <c r="C197" s="325">
        <v>11</v>
      </c>
      <c r="D197" s="69">
        <f t="shared" si="47"/>
        <v>48400</v>
      </c>
      <c r="E197" s="69"/>
      <c r="F197" s="69">
        <v>11500</v>
      </c>
      <c r="G197" s="318">
        <f t="shared" si="52"/>
        <v>556600000</v>
      </c>
      <c r="H197" s="69">
        <f>IF($D$199&lt;&gt;0,H$199/$D$199*$D197,0)</f>
        <v>17070580.236100141</v>
      </c>
      <c r="I197" s="69">
        <f>IF($D$199&lt;&gt;0,I$199/($D$199+$E$199/5)*($D197+$E197/5),0)</f>
        <v>37738788.108108111</v>
      </c>
      <c r="J197" s="69">
        <f t="shared" si="48"/>
        <v>36392321.031803839</v>
      </c>
      <c r="K197" s="69">
        <f t="shared" si="48"/>
        <v>44040055.088613741</v>
      </c>
      <c r="L197" s="69">
        <f>V211+V212</f>
        <v>8184500</v>
      </c>
      <c r="M197" s="69" t="e">
        <f>34560000/($O$101+#REF!+#REF!)*O197</f>
        <v>#REF!</v>
      </c>
      <c r="N197" s="318">
        <f t="shared" si="53"/>
        <v>700026244</v>
      </c>
      <c r="O197" s="326">
        <v>4400</v>
      </c>
      <c r="P197" s="69">
        <f t="shared" si="49"/>
        <v>159096.87363636363</v>
      </c>
      <c r="Q197" s="338"/>
      <c r="R197" s="327" t="s">
        <v>40</v>
      </c>
      <c r="S197" s="383">
        <v>42223</v>
      </c>
      <c r="T197" s="322">
        <v>150</v>
      </c>
      <c r="U197" s="328">
        <v>11666.666999999999</v>
      </c>
      <c r="V197" s="318">
        <f t="shared" si="54"/>
        <v>1750000.0499999998</v>
      </c>
      <c r="W197" s="334"/>
    </row>
    <row r="198" spans="1:23" ht="12" customHeight="1">
      <c r="A198" s="315" t="str">
        <f>IF(B198&lt;&gt;"",#REF!+1,"")</f>
        <v/>
      </c>
      <c r="B198" s="330"/>
      <c r="C198" s="331"/>
      <c r="D198" s="332"/>
      <c r="E198" s="332"/>
      <c r="F198" s="332"/>
      <c r="G198" s="333"/>
      <c r="H198" s="332"/>
      <c r="I198" s="377"/>
      <c r="J198" s="334"/>
      <c r="K198" s="332"/>
      <c r="L198" s="335"/>
      <c r="M198" s="332"/>
      <c r="N198" s="336"/>
      <c r="O198" s="337"/>
      <c r="P198" s="332"/>
      <c r="Q198" s="338"/>
      <c r="R198" s="327" t="s">
        <v>66</v>
      </c>
      <c r="S198" s="383">
        <v>42223</v>
      </c>
      <c r="T198" s="322">
        <v>150</v>
      </c>
      <c r="U198" s="322">
        <v>21131.31</v>
      </c>
      <c r="V198" s="318">
        <f t="shared" si="54"/>
        <v>3169696.5</v>
      </c>
      <c r="W198" s="334"/>
    </row>
    <row r="199" spans="1:23" ht="12" customHeight="1">
      <c r="A199" s="340"/>
      <c r="B199" s="341" t="s">
        <v>349</v>
      </c>
      <c r="C199" s="342"/>
      <c r="D199" s="343">
        <f>SUM(D194:D197)</f>
        <v>164760</v>
      </c>
      <c r="E199" s="343">
        <f>SUM(E194:E197)</f>
        <v>5000</v>
      </c>
      <c r="F199" s="343"/>
      <c r="G199" s="343">
        <f>SUM(G194:G197)</f>
        <v>2855584991</v>
      </c>
      <c r="H199" s="344">
        <f>V206</f>
        <v>58110512.390492953</v>
      </c>
      <c r="I199" s="344">
        <v>129247552</v>
      </c>
      <c r="J199" s="344">
        <v>123884273</v>
      </c>
      <c r="K199" s="344">
        <v>149918171</v>
      </c>
      <c r="L199" s="343">
        <f>ROUND(SUM(L194:L198),0)</f>
        <v>39154500</v>
      </c>
      <c r="M199" s="343" t="e">
        <f>ROUND(SUM(M194:M198),0)</f>
        <v>#REF!</v>
      </c>
      <c r="N199" s="343">
        <f>ROUND(SUM(N194:N198),0)</f>
        <v>3355900000</v>
      </c>
      <c r="O199" s="343">
        <f>ROUND(SUM(O194:O198),0)</f>
        <v>21320</v>
      </c>
      <c r="P199" s="343"/>
      <c r="Q199" s="338"/>
      <c r="R199" s="327" t="s">
        <v>108</v>
      </c>
      <c r="S199" s="383">
        <v>42223</v>
      </c>
      <c r="T199" s="322">
        <v>200</v>
      </c>
      <c r="U199" s="328">
        <v>3000</v>
      </c>
      <c r="V199" s="318">
        <f t="shared" si="54"/>
        <v>600000</v>
      </c>
      <c r="W199" s="334"/>
    </row>
    <row r="200" spans="1:23" ht="12" customHeight="1">
      <c r="Q200" s="338"/>
      <c r="R200" s="327" t="s">
        <v>110</v>
      </c>
      <c r="S200" s="383">
        <v>42223</v>
      </c>
      <c r="T200" s="322">
        <v>3393</v>
      </c>
      <c r="U200" s="349">
        <v>8465.3438901077934</v>
      </c>
      <c r="V200" s="318">
        <f t="shared" si="54"/>
        <v>28722911.819135744</v>
      </c>
      <c r="W200" s="334"/>
    </row>
    <row r="201" spans="1:23" ht="12" customHeight="1">
      <c r="Q201" s="338"/>
      <c r="R201" s="327" t="s">
        <v>38</v>
      </c>
      <c r="S201" s="321">
        <v>42226</v>
      </c>
      <c r="T201" s="349">
        <v>150</v>
      </c>
      <c r="U201" s="328">
        <v>8500</v>
      </c>
      <c r="V201" s="318">
        <f t="shared" si="54"/>
        <v>1275000</v>
      </c>
      <c r="W201" s="334"/>
    </row>
    <row r="202" spans="1:23" ht="12" customHeight="1">
      <c r="Q202" s="338"/>
      <c r="R202" s="351" t="s">
        <v>54</v>
      </c>
      <c r="S202" s="321">
        <v>42226</v>
      </c>
      <c r="T202" s="349">
        <v>5000</v>
      </c>
      <c r="U202" s="328">
        <v>323.05080427144196</v>
      </c>
      <c r="V202" s="318">
        <f t="shared" si="54"/>
        <v>1615254.0213572099</v>
      </c>
      <c r="W202" s="334"/>
    </row>
    <row r="203" spans="1:23" ht="12" customHeight="1">
      <c r="Q203" s="338"/>
      <c r="R203" s="327" t="s">
        <v>123</v>
      </c>
      <c r="S203" s="321">
        <v>42226</v>
      </c>
      <c r="T203" s="322">
        <v>100</v>
      </c>
      <c r="U203" s="322">
        <v>35000</v>
      </c>
      <c r="V203" s="318">
        <f t="shared" si="54"/>
        <v>3500000</v>
      </c>
      <c r="W203" s="334"/>
    </row>
    <row r="204" spans="1:23" ht="12" customHeight="1">
      <c r="Q204" s="338"/>
      <c r="R204" s="37" t="s">
        <v>58</v>
      </c>
      <c r="S204" s="321">
        <v>42226</v>
      </c>
      <c r="T204" s="322">
        <v>190</v>
      </c>
      <c r="U204" s="322">
        <v>34000</v>
      </c>
      <c r="V204" s="318">
        <f t="shared" si="54"/>
        <v>6460000</v>
      </c>
      <c r="W204" s="334"/>
    </row>
    <row r="205" spans="1:23" s="339" customFormat="1" ht="12" customHeight="1">
      <c r="A205" s="288"/>
      <c r="B205" s="288"/>
      <c r="C205" s="288"/>
      <c r="D205" s="288"/>
      <c r="E205" s="288"/>
      <c r="F205" s="288"/>
      <c r="G205" s="288"/>
      <c r="H205" s="288"/>
      <c r="I205" s="288"/>
      <c r="J205" s="288"/>
      <c r="K205" s="288"/>
      <c r="L205" s="288"/>
      <c r="M205" s="288"/>
      <c r="N205" s="288"/>
      <c r="O205" s="288"/>
      <c r="P205" s="288"/>
      <c r="Q205" s="338"/>
      <c r="R205" s="327"/>
      <c r="S205" s="321"/>
      <c r="T205" s="322"/>
      <c r="U205" s="322"/>
      <c r="V205" s="318"/>
      <c r="W205" s="334"/>
    </row>
    <row r="206" spans="1:23" s="292" customFormat="1" ht="12" customHeight="1">
      <c r="A206" s="288"/>
      <c r="B206" s="288"/>
      <c r="C206" s="288"/>
      <c r="D206" s="288"/>
      <c r="E206" s="288"/>
      <c r="F206" s="288"/>
      <c r="G206" s="288"/>
      <c r="H206" s="288"/>
      <c r="I206" s="288"/>
      <c r="J206" s="288"/>
      <c r="K206" s="288"/>
      <c r="L206" s="288"/>
      <c r="M206" s="288"/>
      <c r="N206" s="288"/>
      <c r="O206" s="288"/>
      <c r="P206" s="288"/>
      <c r="Q206" s="338"/>
      <c r="R206" s="372"/>
      <c r="S206" s="373"/>
      <c r="T206" s="374"/>
      <c r="U206" s="386"/>
      <c r="V206" s="355">
        <f>SUM(V194:V205)</f>
        <v>58110512.390492953</v>
      </c>
      <c r="W206" s="355">
        <f>SUM(W194:W205)</f>
        <v>0</v>
      </c>
    </row>
    <row r="207" spans="1:23" ht="12" customHeight="1">
      <c r="R207" s="327" t="s">
        <v>276</v>
      </c>
      <c r="S207" s="383">
        <v>42228</v>
      </c>
      <c r="T207" s="328">
        <v>550</v>
      </c>
      <c r="U207" s="328">
        <v>14200</v>
      </c>
      <c r="V207" s="318">
        <f>T207*U207</f>
        <v>7810000</v>
      </c>
      <c r="W207" s="334"/>
    </row>
    <row r="208" spans="1:23" ht="12" customHeight="1">
      <c r="R208" s="375" t="s">
        <v>390</v>
      </c>
      <c r="S208" s="383">
        <v>42228</v>
      </c>
      <c r="T208" s="322">
        <v>750</v>
      </c>
      <c r="U208" s="322">
        <v>14500</v>
      </c>
      <c r="V208" s="318">
        <f t="shared" ref="V208:V212" si="55">T208*U208</f>
        <v>10875000</v>
      </c>
      <c r="W208" s="318"/>
    </row>
    <row r="209" spans="1:23" ht="12" customHeight="1">
      <c r="R209" s="327" t="s">
        <v>101</v>
      </c>
      <c r="S209" s="321">
        <v>42236</v>
      </c>
      <c r="T209" s="328">
        <v>630</v>
      </c>
      <c r="U209" s="328">
        <v>17000</v>
      </c>
      <c r="V209" s="318">
        <f t="shared" si="55"/>
        <v>10710000</v>
      </c>
      <c r="W209" s="334"/>
    </row>
    <row r="210" spans="1:23" ht="12" customHeight="1">
      <c r="R210" s="327" t="s">
        <v>380</v>
      </c>
      <c r="S210" s="321">
        <v>42236</v>
      </c>
      <c r="T210" s="328">
        <v>630</v>
      </c>
      <c r="U210" s="328">
        <v>2500</v>
      </c>
      <c r="V210" s="318">
        <f t="shared" si="55"/>
        <v>1575000</v>
      </c>
      <c r="W210" s="334"/>
    </row>
    <row r="211" spans="1:23" ht="12" customHeight="1">
      <c r="R211" s="349" t="s">
        <v>103</v>
      </c>
      <c r="S211" s="321">
        <v>42244</v>
      </c>
      <c r="T211" s="328">
        <v>116</v>
      </c>
      <c r="U211" s="328">
        <v>34000</v>
      </c>
      <c r="V211" s="318">
        <f t="shared" si="55"/>
        <v>3944000</v>
      </c>
      <c r="W211" s="334"/>
    </row>
    <row r="212" spans="1:23" ht="12" customHeight="1">
      <c r="R212" s="349" t="s">
        <v>57</v>
      </c>
      <c r="S212" s="321">
        <v>42244</v>
      </c>
      <c r="T212" s="328">
        <v>330</v>
      </c>
      <c r="U212" s="328">
        <v>12850</v>
      </c>
      <c r="V212" s="318">
        <f t="shared" si="55"/>
        <v>4240500</v>
      </c>
      <c r="W212" s="334"/>
    </row>
    <row r="213" spans="1:23" ht="12" customHeight="1">
      <c r="R213" s="349"/>
      <c r="S213" s="321"/>
      <c r="T213" s="328"/>
      <c r="U213" s="328"/>
      <c r="V213" s="318"/>
      <c r="W213" s="334"/>
    </row>
    <row r="214" spans="1:23" ht="12" customHeight="1">
      <c r="R214" s="349"/>
      <c r="S214" s="321"/>
      <c r="T214" s="328"/>
      <c r="U214" s="328"/>
      <c r="V214" s="387">
        <f>SUM(V207:V213)</f>
        <v>39154500</v>
      </c>
      <c r="W214" s="334"/>
    </row>
    <row r="215" spans="1:23">
      <c r="R215" s="291"/>
      <c r="S215" s="298"/>
    </row>
    <row r="216" spans="1:23" ht="20.25" customHeight="1">
      <c r="A216" s="292" t="s">
        <v>333</v>
      </c>
      <c r="B216" s="292"/>
      <c r="C216" s="293"/>
      <c r="D216" s="294"/>
      <c r="E216" s="294"/>
      <c r="F216" s="294"/>
      <c r="G216" s="291"/>
      <c r="H216" s="291"/>
      <c r="I216" s="291"/>
      <c r="J216" s="291"/>
      <c r="K216" s="291"/>
      <c r="L216" s="295"/>
      <c r="M216" s="291"/>
      <c r="N216" s="291"/>
      <c r="O216" s="296"/>
      <c r="P216" s="291"/>
      <c r="R216" s="291"/>
      <c r="S216" s="298"/>
    </row>
    <row r="217" spans="1:23" ht="20.25" customHeight="1">
      <c r="A217" s="299" t="s">
        <v>357</v>
      </c>
      <c r="B217" s="299"/>
      <c r="C217" s="299"/>
      <c r="D217" s="299"/>
      <c r="E217" s="299"/>
      <c r="F217" s="299"/>
      <c r="G217" s="299"/>
      <c r="H217" s="299"/>
      <c r="I217" s="299"/>
      <c r="J217" s="299"/>
      <c r="K217" s="299"/>
      <c r="L217" s="299"/>
      <c r="M217" s="299"/>
      <c r="N217" s="299"/>
      <c r="O217" s="299"/>
      <c r="P217" s="299"/>
      <c r="Q217" s="297"/>
      <c r="R217" s="291"/>
      <c r="S217" s="298"/>
    </row>
    <row r="218" spans="1:23" ht="12" customHeight="1">
      <c r="A218" s="300"/>
      <c r="B218" s="300"/>
      <c r="C218" s="301"/>
      <c r="D218" s="300"/>
      <c r="E218" s="300"/>
      <c r="F218" s="300"/>
      <c r="G218" s="300"/>
      <c r="H218" s="300"/>
      <c r="I218" s="300"/>
      <c r="J218" s="300"/>
      <c r="K218" s="300"/>
      <c r="L218" s="299"/>
      <c r="M218" s="300"/>
      <c r="N218" s="300"/>
      <c r="O218" s="302"/>
      <c r="P218" s="300"/>
      <c r="Q218" s="297"/>
      <c r="R218" s="291"/>
      <c r="S218" s="298"/>
    </row>
    <row r="219" spans="1:23" ht="12" customHeight="1">
      <c r="A219" s="303"/>
      <c r="B219" s="303"/>
      <c r="C219" s="304"/>
      <c r="D219" s="303"/>
      <c r="E219" s="303"/>
      <c r="F219" s="303"/>
      <c r="G219" s="303"/>
      <c r="H219" s="303"/>
      <c r="I219" s="303"/>
      <c r="J219" s="303"/>
      <c r="K219" s="303"/>
      <c r="L219" s="303"/>
      <c r="M219" s="303"/>
      <c r="N219" s="303"/>
      <c r="O219" s="305"/>
      <c r="P219" s="303"/>
      <c r="Q219" s="297"/>
      <c r="R219" s="291"/>
      <c r="S219" s="298"/>
    </row>
    <row r="220" spans="1:23" ht="36.75" customHeight="1">
      <c r="A220" s="308" t="s">
        <v>30</v>
      </c>
      <c r="B220" s="308" t="s">
        <v>335</v>
      </c>
      <c r="C220" s="309" t="s">
        <v>336</v>
      </c>
      <c r="D220" s="310" t="s">
        <v>337</v>
      </c>
      <c r="E220" s="310" t="s">
        <v>347</v>
      </c>
      <c r="F220" s="310" t="s">
        <v>338</v>
      </c>
      <c r="G220" s="310" t="s">
        <v>339</v>
      </c>
      <c r="H220" s="310" t="s">
        <v>340</v>
      </c>
      <c r="I220" s="310" t="s">
        <v>341</v>
      </c>
      <c r="J220" s="310" t="s">
        <v>342</v>
      </c>
      <c r="K220" s="311" t="s">
        <v>343</v>
      </c>
      <c r="L220" s="310" t="s">
        <v>344</v>
      </c>
      <c r="M220" s="311" t="s">
        <v>345</v>
      </c>
      <c r="N220" s="310" t="s">
        <v>346</v>
      </c>
      <c r="O220" s="312" t="s">
        <v>347</v>
      </c>
      <c r="P220" s="310" t="s">
        <v>348</v>
      </c>
      <c r="Q220" s="297"/>
      <c r="R220" s="308" t="s">
        <v>335</v>
      </c>
      <c r="S220" s="310" t="s">
        <v>80</v>
      </c>
      <c r="T220" s="310" t="s">
        <v>64</v>
      </c>
      <c r="U220" s="310" t="s">
        <v>338</v>
      </c>
      <c r="V220" s="310" t="s">
        <v>111</v>
      </c>
      <c r="W220" s="308" t="s">
        <v>111</v>
      </c>
    </row>
    <row r="221" spans="1:23" s="314" customFormat="1" ht="13.5" customHeight="1">
      <c r="A221" s="315">
        <f>IF(B221&lt;&gt;"",ROW()-(ROW()-1),"")</f>
        <v>1</v>
      </c>
      <c r="B221" s="316" t="s">
        <v>165</v>
      </c>
      <c r="C221" s="317">
        <v>11</v>
      </c>
      <c r="D221" s="69">
        <f t="shared" ref="D221:D222" si="56">ROUND(C221*O221,0)</f>
        <v>42900</v>
      </c>
      <c r="E221" s="69"/>
      <c r="F221" s="69">
        <v>15900</v>
      </c>
      <c r="G221" s="318">
        <f>(D221+E221)*F221</f>
        <v>682110000</v>
      </c>
      <c r="H221" s="69">
        <f>IF($D$227&lt;&gt;0,H$227/$D$227*$D221,0)</f>
        <v>16433961.398191093</v>
      </c>
      <c r="I221" s="69">
        <f>IF($E$227&lt;&gt;0,I$227/($D$227+$E$227/5)*($D221+$E221/5),0)</f>
        <v>42011214.859271519</v>
      </c>
      <c r="J221" s="69">
        <f t="shared" ref="J221:K225" si="57">IF($D$227&lt;&gt;0,J$227/$D$227*$D221,0)</f>
        <v>26991784.625</v>
      </c>
      <c r="K221" s="69">
        <f t="shared" si="57"/>
        <v>48723406.875000007</v>
      </c>
      <c r="L221" s="318">
        <f>V233</f>
        <v>4800000</v>
      </c>
      <c r="M221" s="69" t="e">
        <f>34560000/($O$101+#REF!+#REF!)*O221</f>
        <v>#REF!</v>
      </c>
      <c r="N221" s="318">
        <f>ROUND(SUM(G221:L221),0)-1</f>
        <v>821070367</v>
      </c>
      <c r="O221" s="69">
        <v>3900</v>
      </c>
      <c r="P221" s="69">
        <f t="shared" ref="P221:P222" si="58">IF(N221&lt;&gt;0,N221/O221,0)</f>
        <v>210530.86333333334</v>
      </c>
      <c r="Q221" s="313"/>
      <c r="R221" s="320" t="s">
        <v>39</v>
      </c>
      <c r="S221" s="383">
        <v>42251</v>
      </c>
      <c r="T221" s="322">
        <v>150</v>
      </c>
      <c r="U221" s="322">
        <v>31000</v>
      </c>
      <c r="V221" s="318">
        <f t="shared" ref="V221:V225" si="59">T221*U221</f>
        <v>4650000</v>
      </c>
      <c r="W221" s="318"/>
    </row>
    <row r="222" spans="1:23" ht="13.5" customHeight="1">
      <c r="A222" s="315">
        <f t="shared" ref="A222:A225" si="60">IF(B222&lt;&gt;"",A221+1,"")</f>
        <v>2</v>
      </c>
      <c r="B222" s="316" t="s">
        <v>382</v>
      </c>
      <c r="C222" s="325"/>
      <c r="D222" s="69">
        <f t="shared" si="56"/>
        <v>0</v>
      </c>
      <c r="E222" s="69">
        <v>4400</v>
      </c>
      <c r="F222" s="69">
        <f>P197</f>
        <v>159096.87363636363</v>
      </c>
      <c r="G222" s="318">
        <f t="shared" ref="G222" si="61">(D222+E222)*F222</f>
        <v>700026244</v>
      </c>
      <c r="H222" s="69">
        <f>IF($D$227&lt;&gt;0,H$227/$D$227*$D222,0)</f>
        <v>0</v>
      </c>
      <c r="I222" s="69">
        <f>IF($E$227&lt;&gt;0,I$227/($D$227+$E$227/5)*($D222+$E222/5),0)</f>
        <v>861768.50993377483</v>
      </c>
      <c r="J222" s="69">
        <f t="shared" si="57"/>
        <v>0</v>
      </c>
      <c r="K222" s="69">
        <f t="shared" si="57"/>
        <v>0</v>
      </c>
      <c r="L222" s="318">
        <f>SUM($V$234:$V$235)/SUM($O$222:$O$223)*O222</f>
        <v>6603520</v>
      </c>
      <c r="M222" s="69"/>
      <c r="N222" s="318">
        <f t="shared" ref="N222" si="62">ROUND(SUM(G222:L222),0)</f>
        <v>707491533</v>
      </c>
      <c r="O222" s="69">
        <v>4400</v>
      </c>
      <c r="P222" s="69">
        <f t="shared" si="58"/>
        <v>160793.53022727271</v>
      </c>
      <c r="Q222" s="338"/>
      <c r="R222" s="327" t="s">
        <v>49</v>
      </c>
      <c r="S222" s="383">
        <v>42251</v>
      </c>
      <c r="T222" s="322">
        <v>125</v>
      </c>
      <c r="U222" s="322">
        <v>46741.2</v>
      </c>
      <c r="V222" s="318">
        <f t="shared" si="59"/>
        <v>5842650</v>
      </c>
      <c r="W222" s="334"/>
    </row>
    <row r="223" spans="1:23" ht="13.5" customHeight="1">
      <c r="A223" s="315">
        <f t="shared" si="60"/>
        <v>3</v>
      </c>
      <c r="B223" s="316" t="s">
        <v>382</v>
      </c>
      <c r="C223" s="325">
        <v>11</v>
      </c>
      <c r="D223" s="69">
        <f t="shared" ref="D223:D225" si="63">ROUND(C223*O223,0)</f>
        <v>89100</v>
      </c>
      <c r="E223" s="69"/>
      <c r="F223" s="69">
        <v>11800</v>
      </c>
      <c r="G223" s="318">
        <f t="shared" ref="G223:G225" si="64">(D223+E223)*F223</f>
        <v>1051380000</v>
      </c>
      <c r="H223" s="69">
        <f>IF($D$227&lt;&gt;0,H$227/$D$227*$D223,0)</f>
        <v>34132073.673166119</v>
      </c>
      <c r="I223" s="69">
        <f>IF($E$227&lt;&gt;0,I$227/($D$227+$E$227/5)*($D223+$E223/5),0)</f>
        <v>87254061.630794704</v>
      </c>
      <c r="J223" s="69">
        <f t="shared" si="57"/>
        <v>56059860.375</v>
      </c>
      <c r="K223" s="69">
        <f t="shared" si="57"/>
        <v>101194768.12500001</v>
      </c>
      <c r="L223" s="318">
        <f>SUM($V$234:$V$235)/SUM($O$222:$O$223)*O223</f>
        <v>12156480</v>
      </c>
      <c r="M223" s="69"/>
      <c r="N223" s="318">
        <f t="shared" ref="N223:N225" si="65">ROUND(SUM(G223:L223),0)</f>
        <v>1342177244</v>
      </c>
      <c r="O223" s="326">
        <v>8100</v>
      </c>
      <c r="P223" s="69">
        <f t="shared" ref="P223:P225" si="66">IF(N223&lt;&gt;0,N223/O223,0)</f>
        <v>165700.89432098766</v>
      </c>
      <c r="Q223" s="338"/>
      <c r="R223" s="327" t="s">
        <v>40</v>
      </c>
      <c r="S223" s="383">
        <v>42251</v>
      </c>
      <c r="T223" s="322">
        <v>150</v>
      </c>
      <c r="U223" s="322">
        <v>11666.666999999999</v>
      </c>
      <c r="V223" s="318">
        <f t="shared" si="59"/>
        <v>1750000.0499999998</v>
      </c>
      <c r="W223" s="334"/>
    </row>
    <row r="224" spans="1:23">
      <c r="A224" s="315" t="str">
        <f t="shared" si="60"/>
        <v/>
      </c>
      <c r="B224" s="316"/>
      <c r="C224" s="325"/>
      <c r="D224" s="69">
        <f t="shared" si="63"/>
        <v>0</v>
      </c>
      <c r="E224" s="69"/>
      <c r="F224" s="69"/>
      <c r="G224" s="318">
        <f t="shared" si="64"/>
        <v>0</v>
      </c>
      <c r="H224" s="69">
        <f>IF($D$227&lt;&gt;0,H$227/$D$227*$D224,0)</f>
        <v>0</v>
      </c>
      <c r="I224" s="69">
        <f>IF($E$227&lt;&gt;0,I$227/($D$227+$E$227/5)*($D224+$E224/5),0)</f>
        <v>0</v>
      </c>
      <c r="J224" s="69">
        <f t="shared" si="57"/>
        <v>0</v>
      </c>
      <c r="K224" s="69">
        <f t="shared" si="57"/>
        <v>0</v>
      </c>
      <c r="L224" s="318"/>
      <c r="M224" s="69"/>
      <c r="N224" s="318">
        <f t="shared" si="65"/>
        <v>0</v>
      </c>
      <c r="O224" s="326"/>
      <c r="P224" s="69">
        <f t="shared" si="66"/>
        <v>0</v>
      </c>
      <c r="Q224" s="338"/>
      <c r="R224" s="327" t="s">
        <v>66</v>
      </c>
      <c r="S224" s="383">
        <v>42254</v>
      </c>
      <c r="T224" s="322">
        <v>100</v>
      </c>
      <c r="U224" s="322">
        <v>21131.31</v>
      </c>
      <c r="V224" s="318">
        <f t="shared" si="59"/>
        <v>2113131</v>
      </c>
      <c r="W224" s="334"/>
    </row>
    <row r="225" spans="1:23">
      <c r="A225" s="315" t="str">
        <f t="shared" si="60"/>
        <v/>
      </c>
      <c r="B225" s="316"/>
      <c r="C225" s="325"/>
      <c r="D225" s="69">
        <f t="shared" si="63"/>
        <v>0</v>
      </c>
      <c r="E225" s="69"/>
      <c r="F225" s="69"/>
      <c r="G225" s="318">
        <f t="shared" si="64"/>
        <v>0</v>
      </c>
      <c r="H225" s="69">
        <f>IF($D$227&lt;&gt;0,H$227/$D$227*$D225,0)</f>
        <v>0</v>
      </c>
      <c r="I225" s="69">
        <f>IF($E$227&lt;&gt;0,I$227/($D$227+$E$227/5)*($D225+$E225/5),0)</f>
        <v>0</v>
      </c>
      <c r="J225" s="69">
        <f t="shared" si="57"/>
        <v>0</v>
      </c>
      <c r="K225" s="69">
        <f t="shared" si="57"/>
        <v>0</v>
      </c>
      <c r="L225" s="69"/>
      <c r="M225" s="69"/>
      <c r="N225" s="318">
        <f t="shared" si="65"/>
        <v>0</v>
      </c>
      <c r="O225" s="326"/>
      <c r="P225" s="69">
        <f t="shared" si="66"/>
        <v>0</v>
      </c>
      <c r="Q225" s="338"/>
      <c r="R225" s="327" t="s">
        <v>41</v>
      </c>
      <c r="S225" s="383">
        <v>42254</v>
      </c>
      <c r="T225" s="322">
        <v>100</v>
      </c>
      <c r="U225" s="322">
        <v>3500</v>
      </c>
      <c r="V225" s="318">
        <f t="shared" si="59"/>
        <v>350000</v>
      </c>
      <c r="W225" s="334"/>
    </row>
    <row r="226" spans="1:23">
      <c r="A226" s="315" t="str">
        <f>IF(B226&lt;&gt;"",#REF!+1,"")</f>
        <v/>
      </c>
      <c r="B226" s="330"/>
      <c r="C226" s="331"/>
      <c r="D226" s="332"/>
      <c r="E226" s="332"/>
      <c r="F226" s="332"/>
      <c r="G226" s="333"/>
      <c r="H226" s="332"/>
      <c r="I226" s="377"/>
      <c r="J226" s="334"/>
      <c r="K226" s="332"/>
      <c r="L226" s="335"/>
      <c r="M226" s="332"/>
      <c r="N226" s="336"/>
      <c r="O226" s="337"/>
      <c r="P226" s="332"/>
      <c r="Q226" s="338"/>
      <c r="R226" s="327" t="s">
        <v>108</v>
      </c>
      <c r="S226" s="383">
        <v>42254</v>
      </c>
      <c r="T226" s="322">
        <v>200</v>
      </c>
      <c r="U226" s="322">
        <v>3000</v>
      </c>
      <c r="V226" s="318">
        <f t="shared" ref="V226:V230" si="67">T226*U226</f>
        <v>600000</v>
      </c>
      <c r="W226" s="334"/>
    </row>
    <row r="227" spans="1:23">
      <c r="A227" s="340"/>
      <c r="B227" s="341" t="s">
        <v>349</v>
      </c>
      <c r="C227" s="342"/>
      <c r="D227" s="343">
        <f>SUM(D221:D225)</f>
        <v>132000</v>
      </c>
      <c r="E227" s="343">
        <f>SUM(E221:E225)</f>
        <v>4400</v>
      </c>
      <c r="F227" s="343"/>
      <c r="G227" s="343">
        <f>SUM(G221:G225)</f>
        <v>2433516244</v>
      </c>
      <c r="H227" s="344">
        <f>V232</f>
        <v>50566035.071357206</v>
      </c>
      <c r="I227" s="344">
        <v>130127045</v>
      </c>
      <c r="J227" s="344">
        <v>83051645</v>
      </c>
      <c r="K227" s="344">
        <v>149918175</v>
      </c>
      <c r="L227" s="343">
        <f>ROUND(SUM(L221:L226),0)</f>
        <v>23560000</v>
      </c>
      <c r="M227" s="343" t="e">
        <f>ROUND(SUM(M221:M226),0)</f>
        <v>#REF!</v>
      </c>
      <c r="N227" s="343">
        <f>ROUND(SUM(N221:N226),0)</f>
        <v>2870739144</v>
      </c>
      <c r="O227" s="343">
        <f>ROUND(SUM(O221:O226),0)</f>
        <v>16400</v>
      </c>
      <c r="P227" s="343"/>
      <c r="Q227" s="338"/>
      <c r="R227" s="327" t="s">
        <v>110</v>
      </c>
      <c r="S227" s="383">
        <v>42256</v>
      </c>
      <c r="T227" s="322">
        <v>1800</v>
      </c>
      <c r="U227" s="322">
        <v>14300</v>
      </c>
      <c r="V227" s="318">
        <f t="shared" si="67"/>
        <v>25740000</v>
      </c>
      <c r="W227" s="334"/>
    </row>
    <row r="228" spans="1:23">
      <c r="Q228" s="338"/>
      <c r="R228" s="327" t="s">
        <v>38</v>
      </c>
      <c r="S228" s="383">
        <v>42256</v>
      </c>
      <c r="T228" s="349">
        <v>150</v>
      </c>
      <c r="U228" s="328">
        <v>8500</v>
      </c>
      <c r="V228" s="318">
        <f t="shared" si="67"/>
        <v>1275000</v>
      </c>
      <c r="W228" s="334"/>
    </row>
    <row r="229" spans="1:23">
      <c r="Q229" s="338"/>
      <c r="R229" s="351" t="s">
        <v>54</v>
      </c>
      <c r="S229" s="383">
        <v>42256</v>
      </c>
      <c r="T229" s="349">
        <v>5000</v>
      </c>
      <c r="U229" s="328">
        <v>323.05080427144196</v>
      </c>
      <c r="V229" s="318">
        <f t="shared" si="67"/>
        <v>1615254.0213572099</v>
      </c>
      <c r="W229" s="334"/>
    </row>
    <row r="230" spans="1:23">
      <c r="Q230" s="338"/>
      <c r="R230" s="37" t="s">
        <v>58</v>
      </c>
      <c r="S230" s="383">
        <v>42256</v>
      </c>
      <c r="T230" s="322">
        <v>195</v>
      </c>
      <c r="U230" s="322">
        <v>34000</v>
      </c>
      <c r="V230" s="318">
        <f t="shared" si="67"/>
        <v>6630000</v>
      </c>
      <c r="W230" s="334"/>
    </row>
    <row r="231" spans="1:23" s="339" customFormat="1">
      <c r="A231" s="288"/>
      <c r="B231" s="288"/>
      <c r="C231" s="288"/>
      <c r="D231" s="288"/>
      <c r="E231" s="288"/>
      <c r="F231" s="288"/>
      <c r="G231" s="288"/>
      <c r="H231" s="288"/>
      <c r="I231" s="288"/>
      <c r="J231" s="288"/>
      <c r="K231" s="288"/>
      <c r="L231" s="288"/>
      <c r="M231" s="288"/>
      <c r="N231" s="288"/>
      <c r="O231" s="288"/>
      <c r="P231" s="288"/>
      <c r="Q231" s="338"/>
      <c r="R231" s="327"/>
      <c r="S231" s="321"/>
      <c r="T231" s="322"/>
      <c r="U231" s="322"/>
      <c r="V231" s="318"/>
      <c r="W231" s="334"/>
    </row>
    <row r="232" spans="1:23" s="292" customFormat="1">
      <c r="A232" s="288"/>
      <c r="B232" s="288"/>
      <c r="C232" s="288"/>
      <c r="D232" s="288"/>
      <c r="E232" s="288"/>
      <c r="F232" s="288"/>
      <c r="G232" s="288"/>
      <c r="H232" s="288"/>
      <c r="I232" s="288"/>
      <c r="J232" s="288"/>
      <c r="K232" s="288"/>
      <c r="L232" s="288"/>
      <c r="M232" s="288"/>
      <c r="N232" s="288"/>
      <c r="O232" s="288"/>
      <c r="P232" s="288"/>
      <c r="Q232" s="338"/>
      <c r="R232" s="372"/>
      <c r="S232" s="373"/>
      <c r="T232" s="374"/>
      <c r="U232" s="386"/>
      <c r="V232" s="355">
        <f>SUM(V221:V231)</f>
        <v>50566035.071357206</v>
      </c>
      <c r="W232" s="355">
        <f>SUM(W221:W231)</f>
        <v>0</v>
      </c>
    </row>
    <row r="233" spans="1:23">
      <c r="R233" s="375" t="s">
        <v>276</v>
      </c>
      <c r="S233" s="383">
        <v>42262</v>
      </c>
      <c r="T233" s="322">
        <v>400</v>
      </c>
      <c r="U233" s="322">
        <v>12000</v>
      </c>
      <c r="V233" s="318">
        <f t="shared" ref="V233:V239" si="68">T233*U233</f>
        <v>4800000</v>
      </c>
      <c r="W233" s="318"/>
    </row>
    <row r="234" spans="1:23">
      <c r="R234" s="375" t="s">
        <v>276</v>
      </c>
      <c r="S234" s="383">
        <v>42275</v>
      </c>
      <c r="T234" s="328">
        <v>1000</v>
      </c>
      <c r="U234" s="328">
        <v>14200</v>
      </c>
      <c r="V234" s="318">
        <f t="shared" si="68"/>
        <v>14200000</v>
      </c>
      <c r="W234" s="334"/>
    </row>
    <row r="235" spans="1:23">
      <c r="R235" s="327" t="s">
        <v>392</v>
      </c>
      <c r="S235" s="383">
        <v>42275</v>
      </c>
      <c r="T235" s="328">
        <v>400</v>
      </c>
      <c r="U235" s="328">
        <v>11400</v>
      </c>
      <c r="V235" s="318">
        <f t="shared" si="68"/>
        <v>4560000</v>
      </c>
      <c r="W235" s="334"/>
    </row>
    <row r="236" spans="1:23">
      <c r="R236" s="349"/>
      <c r="S236" s="383"/>
      <c r="T236" s="328"/>
      <c r="U236" s="328"/>
      <c r="V236" s="318">
        <f t="shared" si="68"/>
        <v>0</v>
      </c>
      <c r="W236" s="334"/>
    </row>
    <row r="237" spans="1:23">
      <c r="R237" s="327"/>
      <c r="S237" s="321"/>
      <c r="T237" s="328"/>
      <c r="U237" s="328"/>
      <c r="V237" s="318">
        <f t="shared" si="68"/>
        <v>0</v>
      </c>
      <c r="W237" s="334"/>
    </row>
    <row r="238" spans="1:23">
      <c r="R238" s="327"/>
      <c r="S238" s="321"/>
      <c r="T238" s="328"/>
      <c r="U238" s="328"/>
      <c r="V238" s="318">
        <f t="shared" si="68"/>
        <v>0</v>
      </c>
      <c r="W238" s="334"/>
    </row>
    <row r="239" spans="1:23">
      <c r="R239" s="349"/>
      <c r="S239" s="321"/>
      <c r="T239" s="328"/>
      <c r="U239" s="328"/>
      <c r="V239" s="318">
        <f t="shared" si="68"/>
        <v>0</v>
      </c>
      <c r="W239" s="334"/>
    </row>
    <row r="240" spans="1:23">
      <c r="R240" s="349"/>
      <c r="S240" s="321"/>
      <c r="T240" s="328"/>
      <c r="U240" s="328"/>
      <c r="V240" s="387">
        <f>SUM(V233:V239)</f>
        <v>23560000</v>
      </c>
      <c r="W240" s="334"/>
    </row>
    <row r="241" spans="1:23">
      <c r="A241" s="300"/>
      <c r="B241" s="300"/>
      <c r="C241" s="301"/>
      <c r="D241" s="300"/>
      <c r="E241" s="300"/>
      <c r="F241" s="300"/>
      <c r="G241" s="300"/>
      <c r="H241" s="300"/>
      <c r="I241" s="300"/>
      <c r="J241" s="300"/>
      <c r="K241" s="300"/>
      <c r="L241" s="299"/>
      <c r="M241" s="300"/>
      <c r="N241" s="300"/>
      <c r="O241" s="302"/>
      <c r="P241" s="300"/>
      <c r="R241" s="291"/>
      <c r="S241" s="298"/>
    </row>
    <row r="242" spans="1:23" ht="18.75" customHeight="1">
      <c r="A242" s="307"/>
      <c r="B242" s="307"/>
      <c r="C242" s="389"/>
      <c r="D242" s="307"/>
      <c r="E242" s="444"/>
      <c r="F242" s="307"/>
      <c r="G242" s="307"/>
      <c r="H242" s="307"/>
      <c r="I242" s="307"/>
      <c r="J242" s="307"/>
      <c r="K242" s="307"/>
      <c r="L242" s="307"/>
      <c r="M242" s="307"/>
      <c r="N242" s="307"/>
      <c r="O242" s="363"/>
      <c r="P242" s="307"/>
      <c r="Q242" s="297"/>
      <c r="R242" s="291"/>
      <c r="S242" s="298"/>
    </row>
    <row r="243" spans="1:23" ht="20.25" customHeight="1">
      <c r="A243" s="292" t="s">
        <v>333</v>
      </c>
      <c r="B243" s="292"/>
      <c r="C243" s="293"/>
      <c r="D243" s="294"/>
      <c r="E243" s="294"/>
      <c r="F243" s="294"/>
      <c r="G243" s="291"/>
      <c r="H243" s="291"/>
      <c r="I243" s="291"/>
      <c r="J243" s="291"/>
      <c r="K243" s="291"/>
      <c r="L243" s="295"/>
      <c r="M243" s="291"/>
      <c r="N243" s="291"/>
      <c r="O243" s="296"/>
      <c r="P243" s="291"/>
      <c r="Q243" s="297"/>
      <c r="R243" s="291"/>
      <c r="S243" s="298"/>
    </row>
    <row r="244" spans="1:23" ht="20.25" customHeight="1">
      <c r="A244" s="299" t="s">
        <v>358</v>
      </c>
      <c r="B244" s="299"/>
      <c r="C244" s="299"/>
      <c r="D244" s="299"/>
      <c r="E244" s="299"/>
      <c r="F244" s="299"/>
      <c r="G244" s="299"/>
      <c r="H244" s="299"/>
      <c r="I244" s="299"/>
      <c r="J244" s="299"/>
      <c r="K244" s="299"/>
      <c r="L244" s="299"/>
      <c r="M244" s="299"/>
      <c r="N244" s="299"/>
      <c r="O244" s="299"/>
      <c r="P244" s="299"/>
      <c r="Q244" s="297"/>
      <c r="R244" s="291"/>
      <c r="S244" s="298"/>
    </row>
    <row r="245" spans="1:23" ht="12" customHeight="1">
      <c r="A245" s="300"/>
      <c r="B245" s="300"/>
      <c r="C245" s="301"/>
      <c r="D245" s="300"/>
      <c r="E245" s="300"/>
      <c r="F245" s="300"/>
      <c r="G245" s="300"/>
      <c r="H245" s="300"/>
      <c r="I245" s="300"/>
      <c r="J245" s="300"/>
      <c r="K245" s="300"/>
      <c r="L245" s="299"/>
      <c r="M245" s="300"/>
      <c r="N245" s="300"/>
      <c r="O245" s="302"/>
      <c r="P245" s="300"/>
      <c r="Q245" s="297"/>
      <c r="R245" s="291"/>
      <c r="S245" s="298"/>
    </row>
    <row r="246" spans="1:23" ht="12" customHeight="1">
      <c r="A246" s="303"/>
      <c r="B246" s="303"/>
      <c r="C246" s="304"/>
      <c r="D246" s="303"/>
      <c r="E246" s="303"/>
      <c r="F246" s="303"/>
      <c r="G246" s="303"/>
      <c r="H246" s="303"/>
      <c r="I246" s="303"/>
      <c r="J246" s="303"/>
      <c r="K246" s="303"/>
      <c r="L246" s="303"/>
      <c r="M246" s="303"/>
      <c r="N246" s="303"/>
      <c r="O246" s="305"/>
      <c r="P246" s="303"/>
      <c r="Q246" s="297"/>
      <c r="R246" s="291"/>
      <c r="S246" s="298"/>
    </row>
    <row r="247" spans="1:23" ht="36.75" customHeight="1">
      <c r="A247" s="308" t="s">
        <v>30</v>
      </c>
      <c r="B247" s="308" t="s">
        <v>335</v>
      </c>
      <c r="C247" s="309" t="s">
        <v>336</v>
      </c>
      <c r="D247" s="310" t="s">
        <v>337</v>
      </c>
      <c r="E247" s="310" t="s">
        <v>347</v>
      </c>
      <c r="F247" s="310" t="s">
        <v>338</v>
      </c>
      <c r="G247" s="310" t="s">
        <v>339</v>
      </c>
      <c r="H247" s="310" t="s">
        <v>340</v>
      </c>
      <c r="I247" s="310" t="s">
        <v>341</v>
      </c>
      <c r="J247" s="310" t="s">
        <v>342</v>
      </c>
      <c r="K247" s="311" t="s">
        <v>343</v>
      </c>
      <c r="L247" s="310" t="s">
        <v>344</v>
      </c>
      <c r="M247" s="311" t="s">
        <v>345</v>
      </c>
      <c r="N247" s="310" t="s">
        <v>346</v>
      </c>
      <c r="O247" s="312" t="s">
        <v>347</v>
      </c>
      <c r="P247" s="310" t="s">
        <v>348</v>
      </c>
      <c r="Q247" s="297"/>
      <c r="R247" s="308" t="s">
        <v>335</v>
      </c>
      <c r="S247" s="310" t="s">
        <v>80</v>
      </c>
      <c r="T247" s="310" t="s">
        <v>64</v>
      </c>
      <c r="U247" s="310" t="s">
        <v>338</v>
      </c>
      <c r="V247" s="310" t="s">
        <v>111</v>
      </c>
      <c r="W247" s="308" t="s">
        <v>111</v>
      </c>
    </row>
    <row r="248" spans="1:23" s="314" customFormat="1" ht="13.5" customHeight="1">
      <c r="A248" s="315">
        <f>IF(B248&lt;&gt;"",ROW()-(ROW()-1),"")</f>
        <v>1</v>
      </c>
      <c r="B248" s="316" t="s">
        <v>382</v>
      </c>
      <c r="C248" s="325">
        <v>11</v>
      </c>
      <c r="D248" s="69">
        <f t="shared" ref="D248:D250" si="69">ROUND(C248*O248,0)</f>
        <v>124300</v>
      </c>
      <c r="E248" s="69"/>
      <c r="F248" s="69">
        <v>13500</v>
      </c>
      <c r="G248" s="318">
        <f t="shared" ref="G248" si="70">(D248+E248)*F248</f>
        <v>1678050000</v>
      </c>
      <c r="H248" s="69">
        <f t="shared" ref="H248:H253" si="71">IF($D$255&lt;&gt;0,H$255/$D$255*$D248,0)</f>
        <v>37691594.926897511</v>
      </c>
      <c r="I248" s="69">
        <f t="shared" ref="I248:I252" si="72">IF($D$255&lt;&gt;0,I$255/($D$255+$E$255/4)*($D248+$E248/4),0)</f>
        <v>95529827.495358914</v>
      </c>
      <c r="J248" s="69">
        <f t="shared" ref="J248:K253" si="73">IF($D$255&lt;&gt;0,J$255/$D$255*$D248,0)</f>
        <v>46721638.766214125</v>
      </c>
      <c r="K248" s="69">
        <f t="shared" si="73"/>
        <v>105671431.48935665</v>
      </c>
      <c r="L248" s="69">
        <f>V262+V263</f>
        <v>15630000</v>
      </c>
      <c r="M248" s="69"/>
      <c r="N248" s="318">
        <f>ROUND(SUM(G248:L248),0)-1</f>
        <v>1979294492</v>
      </c>
      <c r="O248" s="326">
        <v>11300</v>
      </c>
      <c r="P248" s="69">
        <f t="shared" ref="P248:P250" si="74">IF(N248&lt;&gt;0,N248/O248,0)</f>
        <v>175158.80460176992</v>
      </c>
      <c r="Q248" s="313"/>
      <c r="R248" s="320" t="s">
        <v>39</v>
      </c>
      <c r="S248" s="383">
        <v>42278</v>
      </c>
      <c r="T248" s="322">
        <v>150</v>
      </c>
      <c r="U248" s="322">
        <v>31000</v>
      </c>
      <c r="V248" s="318">
        <f t="shared" ref="V248:V257" si="75">T248*U248</f>
        <v>4650000</v>
      </c>
      <c r="W248" s="318"/>
    </row>
    <row r="249" spans="1:23" ht="13.5" customHeight="1">
      <c r="A249" s="315">
        <f t="shared" ref="A249:A254" si="76">IF(B249&lt;&gt;"",A248+1,"")</f>
        <v>2</v>
      </c>
      <c r="B249" s="316" t="s">
        <v>113</v>
      </c>
      <c r="C249" s="325">
        <v>8</v>
      </c>
      <c r="D249" s="69">
        <f t="shared" si="69"/>
        <v>23040</v>
      </c>
      <c r="E249" s="69"/>
      <c r="F249" s="69">
        <v>16500</v>
      </c>
      <c r="G249" s="318">
        <f>(D249+E249)*F249</f>
        <v>380160000</v>
      </c>
      <c r="H249" s="69">
        <f>IF($D$255&lt;&gt;0,H$255/$D$255*$D249,0)</f>
        <v>6986438.8343983805</v>
      </c>
      <c r="I249" s="69">
        <f t="shared" si="72"/>
        <v>17707218.226010215</v>
      </c>
      <c r="J249" s="69">
        <f t="shared" si="73"/>
        <v>8660229.743954733</v>
      </c>
      <c r="K249" s="69">
        <f t="shared" si="73"/>
        <v>19587045.708083484</v>
      </c>
      <c r="L249" s="318">
        <f>V260+V261</f>
        <v>7215000</v>
      </c>
      <c r="M249" s="69" t="e">
        <f>34560000/($O$101+#REF!+#REF!)*O249</f>
        <v>#REF!</v>
      </c>
      <c r="N249" s="318">
        <f t="shared" ref="N249:N250" si="77">ROUND(SUM(G249:L249),0)</f>
        <v>440315933</v>
      </c>
      <c r="O249" s="69">
        <v>2880</v>
      </c>
      <c r="P249" s="69">
        <f t="shared" si="74"/>
        <v>152887.4767361111</v>
      </c>
      <c r="Q249" s="338"/>
      <c r="R249" s="327" t="s">
        <v>49</v>
      </c>
      <c r="S249" s="383">
        <v>42278</v>
      </c>
      <c r="T249" s="322">
        <v>125</v>
      </c>
      <c r="U249" s="322">
        <v>46741.2</v>
      </c>
      <c r="V249" s="318">
        <f t="shared" si="75"/>
        <v>5842650</v>
      </c>
      <c r="W249" s="334"/>
    </row>
    <row r="250" spans="1:23" ht="13.5" customHeight="1">
      <c r="A250" s="315">
        <f t="shared" si="76"/>
        <v>3</v>
      </c>
      <c r="B250" s="41" t="s">
        <v>126</v>
      </c>
      <c r="C250" s="325">
        <v>4.5</v>
      </c>
      <c r="D250" s="69">
        <f t="shared" si="69"/>
        <v>21263</v>
      </c>
      <c r="E250" s="69"/>
      <c r="F250" s="69">
        <v>17500</v>
      </c>
      <c r="G250" s="318">
        <f t="shared" ref="G250" si="78">(D250+E250)*F250</f>
        <v>372102500</v>
      </c>
      <c r="H250" s="69">
        <f t="shared" si="71"/>
        <v>6447597.6100613177</v>
      </c>
      <c r="I250" s="69">
        <f t="shared" si="72"/>
        <v>16341518.278630868</v>
      </c>
      <c r="J250" s="69">
        <f t="shared" si="73"/>
        <v>7992294.4898311421</v>
      </c>
      <c r="K250" s="69">
        <f t="shared" si="73"/>
        <v>18076360.80255986</v>
      </c>
      <c r="L250" s="69">
        <f>V264</f>
        <v>6176100</v>
      </c>
      <c r="M250" s="69"/>
      <c r="N250" s="318">
        <f t="shared" si="77"/>
        <v>427136371</v>
      </c>
      <c r="O250" s="326">
        <v>4725</v>
      </c>
      <c r="P250" s="69">
        <f t="shared" si="74"/>
        <v>90399.23195767196</v>
      </c>
      <c r="Q250" s="338"/>
      <c r="R250" s="327" t="s">
        <v>40</v>
      </c>
      <c r="S250" s="383">
        <v>42278</v>
      </c>
      <c r="T250" s="322">
        <v>150</v>
      </c>
      <c r="U250" s="322">
        <v>11666.666999999999</v>
      </c>
      <c r="V250" s="318">
        <f t="shared" si="75"/>
        <v>1750000.0499999998</v>
      </c>
      <c r="W250" s="334"/>
    </row>
    <row r="251" spans="1:23" ht="13.5" customHeight="1">
      <c r="A251" s="315" t="str">
        <f t="shared" si="76"/>
        <v/>
      </c>
      <c r="B251" s="316"/>
      <c r="C251" s="325"/>
      <c r="D251" s="69">
        <f t="shared" ref="D251:D253" si="79">ROUND(C251*O251,0)</f>
        <v>0</v>
      </c>
      <c r="E251" s="69"/>
      <c r="F251" s="69"/>
      <c r="G251" s="318">
        <f t="shared" ref="G251:G253" si="80">(D251+E251)*F251</f>
        <v>0</v>
      </c>
      <c r="H251" s="69">
        <f t="shared" si="71"/>
        <v>0</v>
      </c>
      <c r="I251" s="69">
        <f t="shared" si="72"/>
        <v>0</v>
      </c>
      <c r="J251" s="69">
        <f t="shared" si="73"/>
        <v>0</v>
      </c>
      <c r="K251" s="69">
        <f t="shared" si="73"/>
        <v>0</v>
      </c>
      <c r="L251" s="69"/>
      <c r="M251" s="69"/>
      <c r="N251" s="318">
        <f t="shared" ref="N251:N253" si="81">ROUND(SUM(G251:L251),0)</f>
        <v>0</v>
      </c>
      <c r="O251" s="326"/>
      <c r="P251" s="69">
        <f t="shared" ref="P251:P253" si="82">IF(N251&lt;&gt;0,N251/O251,0)</f>
        <v>0</v>
      </c>
      <c r="Q251" s="338"/>
      <c r="R251" s="327" t="s">
        <v>66</v>
      </c>
      <c r="S251" s="383">
        <v>42282</v>
      </c>
      <c r="T251" s="322">
        <v>135</v>
      </c>
      <c r="U251" s="322">
        <v>19797.98</v>
      </c>
      <c r="V251" s="318">
        <f t="shared" si="75"/>
        <v>2672727.2999999998</v>
      </c>
      <c r="W251" s="334"/>
    </row>
    <row r="252" spans="1:23" ht="13.5" customHeight="1">
      <c r="A252" s="315" t="str">
        <f t="shared" si="76"/>
        <v/>
      </c>
      <c r="B252" s="316"/>
      <c r="C252" s="325"/>
      <c r="D252" s="69">
        <f t="shared" si="79"/>
        <v>0</v>
      </c>
      <c r="E252" s="69"/>
      <c r="F252" s="69"/>
      <c r="G252" s="318">
        <f t="shared" si="80"/>
        <v>0</v>
      </c>
      <c r="H252" s="69">
        <f t="shared" si="71"/>
        <v>0</v>
      </c>
      <c r="I252" s="69">
        <f t="shared" si="72"/>
        <v>0</v>
      </c>
      <c r="J252" s="69">
        <f t="shared" si="73"/>
        <v>0</v>
      </c>
      <c r="K252" s="69">
        <f t="shared" si="73"/>
        <v>0</v>
      </c>
      <c r="L252" s="69"/>
      <c r="M252" s="69"/>
      <c r="N252" s="318">
        <f t="shared" si="81"/>
        <v>0</v>
      </c>
      <c r="O252" s="326"/>
      <c r="P252" s="69">
        <f t="shared" si="82"/>
        <v>0</v>
      </c>
      <c r="Q252" s="338"/>
      <c r="R252" s="327" t="s">
        <v>41</v>
      </c>
      <c r="S252" s="383">
        <v>42282</v>
      </c>
      <c r="T252" s="322">
        <v>100</v>
      </c>
      <c r="U252" s="322">
        <v>3500</v>
      </c>
      <c r="V252" s="318">
        <f t="shared" si="75"/>
        <v>350000</v>
      </c>
      <c r="W252" s="334"/>
    </row>
    <row r="253" spans="1:23">
      <c r="A253" s="315" t="str">
        <f t="shared" si="76"/>
        <v/>
      </c>
      <c r="B253" s="316"/>
      <c r="C253" s="325"/>
      <c r="D253" s="69">
        <f t="shared" si="79"/>
        <v>0</v>
      </c>
      <c r="E253" s="69"/>
      <c r="F253" s="69"/>
      <c r="G253" s="318">
        <f t="shared" si="80"/>
        <v>0</v>
      </c>
      <c r="H253" s="69">
        <f t="shared" si="71"/>
        <v>0</v>
      </c>
      <c r="I253" s="69">
        <f>IF($D$255&lt;&gt;0,I$255/($D$255+$E$255/4)*($D253+$E253/4),0)</f>
        <v>0</v>
      </c>
      <c r="J253" s="69">
        <f t="shared" si="73"/>
        <v>0</v>
      </c>
      <c r="K253" s="69">
        <f t="shared" si="73"/>
        <v>0</v>
      </c>
      <c r="L253" s="69"/>
      <c r="M253" s="69"/>
      <c r="N253" s="318">
        <f t="shared" si="81"/>
        <v>0</v>
      </c>
      <c r="O253" s="326"/>
      <c r="P253" s="69">
        <f t="shared" si="82"/>
        <v>0</v>
      </c>
      <c r="Q253" s="338"/>
      <c r="R253" s="327" t="s">
        <v>108</v>
      </c>
      <c r="S253" s="383">
        <v>42282</v>
      </c>
      <c r="T253" s="322">
        <v>200</v>
      </c>
      <c r="U253" s="328">
        <v>3000</v>
      </c>
      <c r="V253" s="318">
        <f t="shared" si="75"/>
        <v>600000</v>
      </c>
      <c r="W253" s="334"/>
    </row>
    <row r="254" spans="1:23">
      <c r="A254" s="315" t="str">
        <f t="shared" si="76"/>
        <v/>
      </c>
      <c r="B254" s="330"/>
      <c r="C254" s="331"/>
      <c r="D254" s="332"/>
      <c r="E254" s="332"/>
      <c r="F254" s="332"/>
      <c r="G254" s="333"/>
      <c r="H254" s="332"/>
      <c r="I254" s="377"/>
      <c r="J254" s="334"/>
      <c r="K254" s="332"/>
      <c r="L254" s="335"/>
      <c r="M254" s="332"/>
      <c r="N254" s="336"/>
      <c r="O254" s="337"/>
      <c r="P254" s="332"/>
      <c r="Q254" s="338"/>
      <c r="R254" s="327" t="s">
        <v>110</v>
      </c>
      <c r="S254" s="384">
        <v>42284</v>
      </c>
      <c r="T254" s="322">
        <v>1800</v>
      </c>
      <c r="U254" s="322">
        <v>14300</v>
      </c>
      <c r="V254" s="318">
        <f t="shared" si="75"/>
        <v>25740000</v>
      </c>
      <c r="W254" s="334"/>
    </row>
    <row r="255" spans="1:23" s="339" customFormat="1">
      <c r="A255" s="340"/>
      <c r="B255" s="341" t="s">
        <v>349</v>
      </c>
      <c r="C255" s="342"/>
      <c r="D255" s="343">
        <f>SUM(D248:D253)</f>
        <v>168603</v>
      </c>
      <c r="E255" s="343">
        <f>SUM(E248:E253)</f>
        <v>0</v>
      </c>
      <c r="F255" s="343"/>
      <c r="G255" s="343">
        <f>SUM(G248:G254)</f>
        <v>2430312500</v>
      </c>
      <c r="H255" s="344">
        <f>V259</f>
        <v>51125631.37135721</v>
      </c>
      <c r="I255" s="344">
        <v>129578564</v>
      </c>
      <c r="J255" s="344">
        <v>63374163</v>
      </c>
      <c r="K255" s="344">
        <v>143334838</v>
      </c>
      <c r="L255" s="343">
        <f>ROUND(SUM(L248:L254),0)</f>
        <v>29021100</v>
      </c>
      <c r="M255" s="343" t="e">
        <f>ROUND(SUM(M248:M254),0)</f>
        <v>#REF!</v>
      </c>
      <c r="N255" s="343">
        <f>ROUND(SUM(N248:N254),0)</f>
        <v>2846746796</v>
      </c>
      <c r="O255" s="343">
        <f>ROUND(SUM(O248:O254),0)</f>
        <v>18905</v>
      </c>
      <c r="P255" s="343"/>
      <c r="Q255" s="338"/>
      <c r="R255" s="327" t="s">
        <v>38</v>
      </c>
      <c r="S255" s="384">
        <v>42284</v>
      </c>
      <c r="T255" s="349">
        <v>150</v>
      </c>
      <c r="U255" s="328">
        <v>8500</v>
      </c>
      <c r="V255" s="318">
        <f t="shared" si="75"/>
        <v>1275000</v>
      </c>
      <c r="W255" s="334"/>
    </row>
    <row r="256" spans="1:23" s="292" customFormat="1">
      <c r="A256" s="288"/>
      <c r="B256" s="288"/>
      <c r="C256" s="288"/>
      <c r="D256" s="288"/>
      <c r="E256" s="288"/>
      <c r="F256" s="288"/>
      <c r="G256" s="288"/>
      <c r="H256" s="288"/>
      <c r="I256" s="288"/>
      <c r="J256" s="288"/>
      <c r="K256" s="288"/>
      <c r="L256" s="288"/>
      <c r="M256" s="288"/>
      <c r="N256" s="288"/>
      <c r="O256" s="288"/>
      <c r="P256" s="288"/>
      <c r="Q256" s="338"/>
      <c r="R256" s="351" t="s">
        <v>54</v>
      </c>
      <c r="S256" s="384">
        <v>42284</v>
      </c>
      <c r="T256" s="349">
        <v>5000</v>
      </c>
      <c r="U256" s="328">
        <v>323.05080427144196</v>
      </c>
      <c r="V256" s="318">
        <f t="shared" si="75"/>
        <v>1615254.0213572099</v>
      </c>
      <c r="W256" s="334"/>
    </row>
    <row r="257" spans="1:23">
      <c r="Q257" s="338"/>
      <c r="R257" s="37" t="s">
        <v>58</v>
      </c>
      <c r="S257" s="384">
        <v>42284</v>
      </c>
      <c r="T257" s="322">
        <v>195</v>
      </c>
      <c r="U257" s="322">
        <v>34000</v>
      </c>
      <c r="V257" s="318">
        <f t="shared" si="75"/>
        <v>6630000</v>
      </c>
      <c r="W257" s="334"/>
    </row>
    <row r="258" spans="1:23">
      <c r="Q258" s="338"/>
      <c r="R258" s="385"/>
      <c r="S258" s="321"/>
      <c r="T258" s="322"/>
      <c r="U258" s="322"/>
      <c r="V258" s="334"/>
      <c r="W258" s="334"/>
    </row>
    <row r="259" spans="1:23">
      <c r="Q259" s="338"/>
      <c r="R259" s="372"/>
      <c r="S259" s="373"/>
      <c r="T259" s="374"/>
      <c r="U259" s="386"/>
      <c r="V259" s="355">
        <f>SUM(V248:V258)</f>
        <v>51125631.37135721</v>
      </c>
      <c r="W259" s="355">
        <f>SUM(W248:W258)</f>
        <v>0</v>
      </c>
    </row>
    <row r="260" spans="1:23">
      <c r="R260" s="327" t="s">
        <v>101</v>
      </c>
      <c r="S260" s="383">
        <v>42296</v>
      </c>
      <c r="T260" s="322">
        <v>370</v>
      </c>
      <c r="U260" s="328">
        <v>17000</v>
      </c>
      <c r="V260" s="318">
        <f t="shared" ref="V260:V266" si="83">T260*U260</f>
        <v>6290000</v>
      </c>
      <c r="W260" s="318"/>
    </row>
    <row r="261" spans="1:23">
      <c r="R261" s="327" t="s">
        <v>380</v>
      </c>
      <c r="S261" s="383">
        <v>42296</v>
      </c>
      <c r="T261" s="328">
        <v>370</v>
      </c>
      <c r="U261" s="328">
        <v>2500</v>
      </c>
      <c r="V261" s="318">
        <f t="shared" si="83"/>
        <v>925000</v>
      </c>
      <c r="W261" s="334"/>
    </row>
    <row r="262" spans="1:23">
      <c r="R262" s="430" t="s">
        <v>390</v>
      </c>
      <c r="S262" s="383">
        <v>42307</v>
      </c>
      <c r="T262" s="328">
        <v>900</v>
      </c>
      <c r="U262" s="328">
        <v>12300</v>
      </c>
      <c r="V262" s="318">
        <f t="shared" si="83"/>
        <v>11070000</v>
      </c>
      <c r="W262" s="334"/>
    </row>
    <row r="263" spans="1:23">
      <c r="R263" s="349" t="s">
        <v>276</v>
      </c>
      <c r="S263" s="383">
        <v>42307</v>
      </c>
      <c r="T263" s="328">
        <v>380</v>
      </c>
      <c r="U263" s="328">
        <v>12000</v>
      </c>
      <c r="V263" s="318">
        <f t="shared" si="83"/>
        <v>4560000</v>
      </c>
      <c r="W263" s="334"/>
    </row>
    <row r="264" spans="1:23">
      <c r="R264" s="327" t="s">
        <v>50</v>
      </c>
      <c r="S264" s="383">
        <v>42307</v>
      </c>
      <c r="T264" s="328">
        <v>1038</v>
      </c>
      <c r="U264" s="328">
        <v>5950</v>
      </c>
      <c r="V264" s="318">
        <f t="shared" si="83"/>
        <v>6176100</v>
      </c>
      <c r="W264" s="334"/>
    </row>
    <row r="265" spans="1:23">
      <c r="R265" s="327"/>
      <c r="S265" s="321"/>
      <c r="T265" s="328"/>
      <c r="U265" s="328"/>
      <c r="V265" s="318">
        <f t="shared" si="83"/>
        <v>0</v>
      </c>
      <c r="W265" s="334"/>
    </row>
    <row r="266" spans="1:23">
      <c r="R266" s="349"/>
      <c r="S266" s="321"/>
      <c r="T266" s="328"/>
      <c r="U266" s="328"/>
      <c r="V266" s="318">
        <f t="shared" si="83"/>
        <v>0</v>
      </c>
      <c r="W266" s="334"/>
    </row>
    <row r="267" spans="1:23">
      <c r="R267" s="349"/>
      <c r="S267" s="321"/>
      <c r="T267" s="328"/>
      <c r="U267" s="328"/>
      <c r="V267" s="387">
        <f>SUM(V260:V266)</f>
        <v>29021100</v>
      </c>
      <c r="W267" s="334"/>
    </row>
    <row r="268" spans="1:23">
      <c r="R268" s="297"/>
      <c r="S268" s="376"/>
      <c r="T268" s="307"/>
      <c r="U268" s="307"/>
      <c r="V268" s="347"/>
      <c r="W268" s="364"/>
    </row>
    <row r="269" spans="1:23" ht="20.25" customHeight="1">
      <c r="A269" s="292" t="s">
        <v>333</v>
      </c>
      <c r="B269" s="292"/>
      <c r="C269" s="293"/>
      <c r="D269" s="294"/>
      <c r="E269" s="294"/>
      <c r="F269" s="294"/>
      <c r="G269" s="291"/>
      <c r="H269" s="291"/>
      <c r="I269" s="291"/>
      <c r="J269" s="291"/>
      <c r="K269" s="291"/>
      <c r="L269" s="295"/>
      <c r="M269" s="291"/>
      <c r="N269" s="291"/>
      <c r="O269" s="296"/>
      <c r="P269" s="291"/>
      <c r="R269" s="291"/>
      <c r="S269" s="298"/>
    </row>
    <row r="270" spans="1:23" ht="20.25" customHeight="1">
      <c r="A270" s="299" t="s">
        <v>359</v>
      </c>
      <c r="B270" s="299"/>
      <c r="C270" s="299"/>
      <c r="D270" s="299"/>
      <c r="E270" s="299"/>
      <c r="F270" s="299"/>
      <c r="G270" s="299"/>
      <c r="H270" s="299"/>
      <c r="I270" s="299"/>
      <c r="J270" s="299"/>
      <c r="K270" s="299"/>
      <c r="L270" s="299"/>
      <c r="M270" s="299"/>
      <c r="N270" s="299"/>
      <c r="O270" s="299"/>
      <c r="P270" s="299"/>
      <c r="Q270" s="297"/>
      <c r="R270" s="291"/>
      <c r="S270" s="298"/>
    </row>
    <row r="271" spans="1:23" ht="12" customHeight="1">
      <c r="A271" s="300"/>
      <c r="B271" s="300"/>
      <c r="C271" s="301"/>
      <c r="D271" s="300"/>
      <c r="E271" s="300"/>
      <c r="F271" s="300"/>
      <c r="G271" s="300"/>
      <c r="H271" s="300"/>
      <c r="I271" s="300"/>
      <c r="J271" s="300"/>
      <c r="K271" s="300"/>
      <c r="L271" s="299"/>
      <c r="M271" s="300"/>
      <c r="N271" s="300"/>
      <c r="O271" s="302"/>
      <c r="P271" s="300"/>
      <c r="Q271" s="297"/>
      <c r="R271" s="291"/>
      <c r="S271" s="298"/>
    </row>
    <row r="272" spans="1:23" ht="12" customHeight="1">
      <c r="A272" s="303"/>
      <c r="B272" s="303"/>
      <c r="C272" s="304"/>
      <c r="D272" s="303"/>
      <c r="E272" s="303"/>
      <c r="F272" s="303"/>
      <c r="G272" s="303"/>
      <c r="H272" s="303"/>
      <c r="I272" s="303"/>
      <c r="J272" s="303"/>
      <c r="K272" s="303"/>
      <c r="L272" s="303"/>
      <c r="M272" s="303"/>
      <c r="N272" s="303"/>
      <c r="O272" s="305"/>
      <c r="P272" s="303"/>
      <c r="Q272" s="297"/>
      <c r="R272" s="291"/>
      <c r="S272" s="298"/>
    </row>
    <row r="273" spans="1:23" ht="36.75" customHeight="1">
      <c r="A273" s="308" t="s">
        <v>30</v>
      </c>
      <c r="B273" s="308" t="s">
        <v>335</v>
      </c>
      <c r="C273" s="309" t="s">
        <v>336</v>
      </c>
      <c r="D273" s="310" t="s">
        <v>337</v>
      </c>
      <c r="E273" s="310" t="s">
        <v>347</v>
      </c>
      <c r="F273" s="310" t="s">
        <v>338</v>
      </c>
      <c r="G273" s="310" t="s">
        <v>339</v>
      </c>
      <c r="H273" s="310" t="s">
        <v>340</v>
      </c>
      <c r="I273" s="310" t="s">
        <v>341</v>
      </c>
      <c r="J273" s="310" t="s">
        <v>342</v>
      </c>
      <c r="K273" s="311" t="s">
        <v>343</v>
      </c>
      <c r="L273" s="310" t="s">
        <v>344</v>
      </c>
      <c r="M273" s="311" t="s">
        <v>345</v>
      </c>
      <c r="N273" s="310" t="s">
        <v>346</v>
      </c>
      <c r="O273" s="312" t="s">
        <v>347</v>
      </c>
      <c r="P273" s="310" t="s">
        <v>348</v>
      </c>
      <c r="Q273" s="297"/>
      <c r="R273" s="308" t="s">
        <v>335</v>
      </c>
      <c r="S273" s="310" t="s">
        <v>80</v>
      </c>
      <c r="T273" s="310" t="s">
        <v>64</v>
      </c>
      <c r="U273" s="310" t="s">
        <v>338</v>
      </c>
      <c r="V273" s="310" t="s">
        <v>111</v>
      </c>
      <c r="W273" s="308" t="s">
        <v>111</v>
      </c>
    </row>
    <row r="274" spans="1:23" s="314" customFormat="1" ht="13.5" customHeight="1">
      <c r="A274" s="315">
        <f>IF(B274&lt;&gt;"",ROW()-(ROW()-1),"")</f>
        <v>1</v>
      </c>
      <c r="B274" s="316" t="s">
        <v>165</v>
      </c>
      <c r="C274" s="325">
        <f>IF(ISNA(VLOOKUP(B274,NXT!$Q$57:$R$76,2,0)),0,VLOOKUP(B274,NXT!$Q$57:$R$76,2,0))</f>
        <v>11</v>
      </c>
      <c r="D274" s="69">
        <f t="shared" ref="D274:D279" si="84">ROUND(C274*O274,0)</f>
        <v>63470</v>
      </c>
      <c r="E274" s="69"/>
      <c r="F274" s="69">
        <v>16000</v>
      </c>
      <c r="G274" s="318">
        <f>(D274+E274)*F274</f>
        <v>1015520000</v>
      </c>
      <c r="H274" s="69">
        <f>IF($D$281&lt;&gt;0,H$281/$D$281*$D274,0)</f>
        <v>13689020.460332934</v>
      </c>
      <c r="I274" s="69">
        <f>IF($D$281&lt;&gt;0,I$281/($D$281+$E$281/4)*($D274+$E274/4),0)</f>
        <v>35511026.729617305</v>
      </c>
      <c r="J274" s="69">
        <f t="shared" ref="J274:K279" si="85">IF($D$281&lt;&gt;0,J$281/$D$281*$D274,0)</f>
        <v>16997934.880429074</v>
      </c>
      <c r="K274" s="69">
        <f t="shared" si="85"/>
        <v>39831270.43721541</v>
      </c>
      <c r="L274" s="318">
        <f t="shared" ref="L274:L279" si="86">V286</f>
        <v>6660000</v>
      </c>
      <c r="M274" s="69" t="e">
        <f>34560000/($O$101+#REF!+#REF!)*O274</f>
        <v>#REF!</v>
      </c>
      <c r="N274" s="318">
        <f t="shared" ref="N274:N278" si="87">ROUND(SUM(G274:L274),0)</f>
        <v>1128209253</v>
      </c>
      <c r="O274" s="326">
        <v>5770</v>
      </c>
      <c r="P274" s="69">
        <f t="shared" ref="P274:P279" si="88">IF(N274&lt;&gt;0,N274/O274,0)</f>
        <v>195530.19982668979</v>
      </c>
      <c r="Q274" s="313"/>
      <c r="R274" s="320" t="s">
        <v>39</v>
      </c>
      <c r="S274" s="383">
        <v>42309</v>
      </c>
      <c r="T274" s="322">
        <v>150</v>
      </c>
      <c r="U274" s="322">
        <v>31000</v>
      </c>
      <c r="V274" s="318">
        <f t="shared" ref="V274:V283" si="89">T274*U274</f>
        <v>4650000</v>
      </c>
      <c r="W274" s="318"/>
    </row>
    <row r="275" spans="1:23" ht="13.5" customHeight="1">
      <c r="A275" s="315">
        <f t="shared" ref="A275:A280" si="90">IF(B275&lt;&gt;"",A274+1,"")</f>
        <v>2</v>
      </c>
      <c r="B275" s="316" t="s">
        <v>113</v>
      </c>
      <c r="C275" s="325">
        <f>IF(ISNA(VLOOKUP(B275,NXT!$Q$57:$R$76,2,0)),0,VLOOKUP(B275,NXT!$Q$57:$R$76,2,0))</f>
        <v>8</v>
      </c>
      <c r="D275" s="69">
        <f t="shared" si="84"/>
        <v>10880</v>
      </c>
      <c r="E275" s="69"/>
      <c r="F275" s="69">
        <v>16500</v>
      </c>
      <c r="G275" s="318">
        <f t="shared" ref="G275:G278" si="91">(D275+E275)*F275</f>
        <v>179520000</v>
      </c>
      <c r="H275" s="69">
        <f t="shared" ref="H275:H279" si="92">IF($D$281&lt;&gt;0,H$281/$D$281*$D275,0)</f>
        <v>2346565.9777599233</v>
      </c>
      <c r="I275" s="69">
        <f t="shared" ref="I275:I279" si="93">IF($D$281&lt;&gt;0,I$281/($D$281+$E$281/4)*($D275+$E275/4),0)</f>
        <v>6087284.8718801998</v>
      </c>
      <c r="J275" s="69">
        <f t="shared" si="85"/>
        <v>2913778.6591943959</v>
      </c>
      <c r="K275" s="69">
        <f t="shared" si="85"/>
        <v>6827859.1831873907</v>
      </c>
      <c r="L275" s="69">
        <f t="shared" si="86"/>
        <v>3360000</v>
      </c>
      <c r="M275" s="69"/>
      <c r="N275" s="318">
        <f t="shared" si="87"/>
        <v>201055489</v>
      </c>
      <c r="O275" s="326">
        <v>1360</v>
      </c>
      <c r="P275" s="69">
        <f t="shared" si="88"/>
        <v>147834.91838235295</v>
      </c>
      <c r="Q275" s="338"/>
      <c r="R275" s="327" t="s">
        <v>49</v>
      </c>
      <c r="S275" s="383">
        <v>42309</v>
      </c>
      <c r="T275" s="322">
        <v>125</v>
      </c>
      <c r="U275" s="322">
        <v>46741.2</v>
      </c>
      <c r="V275" s="318">
        <f t="shared" si="89"/>
        <v>5842650</v>
      </c>
      <c r="W275" s="334"/>
    </row>
    <row r="276" spans="1:23" ht="13.5" customHeight="1">
      <c r="A276" s="315">
        <f t="shared" si="90"/>
        <v>3</v>
      </c>
      <c r="B276" s="316" t="s">
        <v>381</v>
      </c>
      <c r="C276" s="325">
        <f>IF(ISNA(VLOOKUP(B276,NXT!$Q$57:$R$76,2,0)),0,VLOOKUP(B276,NXT!$Q$57:$R$76,2,0))</f>
        <v>4.5</v>
      </c>
      <c r="D276" s="69">
        <f t="shared" si="84"/>
        <v>111150</v>
      </c>
      <c r="E276" s="69"/>
      <c r="F276" s="69">
        <v>10000</v>
      </c>
      <c r="G276" s="318">
        <f t="shared" si="91"/>
        <v>1111500000</v>
      </c>
      <c r="H276" s="69">
        <f t="shared" si="92"/>
        <v>23972500.774633773</v>
      </c>
      <c r="I276" s="69">
        <f t="shared" si="93"/>
        <v>62187657.491680533</v>
      </c>
      <c r="J276" s="69">
        <f t="shared" si="85"/>
        <v>29767141.357486866</v>
      </c>
      <c r="K276" s="69">
        <f t="shared" si="85"/>
        <v>69753359.210595444</v>
      </c>
      <c r="L276" s="69">
        <f t="shared" si="86"/>
        <v>10575000</v>
      </c>
      <c r="M276" s="69">
        <v>25840000</v>
      </c>
      <c r="N276" s="318">
        <f t="shared" si="87"/>
        <v>1307755659</v>
      </c>
      <c r="O276" s="326">
        <v>24700</v>
      </c>
      <c r="P276" s="69">
        <f t="shared" si="88"/>
        <v>52945.573238866396</v>
      </c>
      <c r="Q276" s="338"/>
      <c r="R276" s="327" t="s">
        <v>40</v>
      </c>
      <c r="S276" s="383">
        <v>42309</v>
      </c>
      <c r="T276" s="322">
        <v>150</v>
      </c>
      <c r="U276" s="322">
        <v>11666.666999999999</v>
      </c>
      <c r="V276" s="318">
        <f t="shared" si="89"/>
        <v>1750000.0499999998</v>
      </c>
      <c r="W276" s="334"/>
    </row>
    <row r="277" spans="1:23" ht="13.5" customHeight="1">
      <c r="A277" s="315">
        <f t="shared" si="90"/>
        <v>4</v>
      </c>
      <c r="B277" s="316" t="s">
        <v>395</v>
      </c>
      <c r="C277" s="325">
        <f>IF(ISNA(VLOOKUP(B277,NXT!$Q$57:$R$76,2,0)),0,VLOOKUP(B277,NXT!$Q$57:$R$76,2,0))</f>
        <v>9</v>
      </c>
      <c r="D277" s="69">
        <f t="shared" si="84"/>
        <v>33300</v>
      </c>
      <c r="E277" s="69"/>
      <c r="F277" s="69">
        <v>24000</v>
      </c>
      <c r="G277" s="318">
        <f t="shared" si="91"/>
        <v>799200000</v>
      </c>
      <c r="H277" s="69">
        <f t="shared" si="92"/>
        <v>7182044.7664894713</v>
      </c>
      <c r="I277" s="69">
        <f t="shared" si="93"/>
        <v>18631120.058236271</v>
      </c>
      <c r="J277" s="69">
        <f t="shared" si="85"/>
        <v>8918090.9330122601</v>
      </c>
      <c r="K277" s="69">
        <f t="shared" si="85"/>
        <v>20897767.536777586</v>
      </c>
      <c r="L277" s="69">
        <f t="shared" si="86"/>
        <v>9765000</v>
      </c>
      <c r="M277" s="69" t="e">
        <f>34560000/($O$101+#REF!+#REF!)*O277</f>
        <v>#REF!</v>
      </c>
      <c r="N277" s="318">
        <f t="shared" si="87"/>
        <v>864594023</v>
      </c>
      <c r="O277" s="326">
        <v>3700</v>
      </c>
      <c r="P277" s="69">
        <f t="shared" si="88"/>
        <v>233674.06027027027</v>
      </c>
      <c r="Q277" s="338"/>
      <c r="R277" s="327" t="s">
        <v>66</v>
      </c>
      <c r="S277" s="383">
        <v>42311</v>
      </c>
      <c r="T277" s="322">
        <v>135</v>
      </c>
      <c r="U277" s="322">
        <v>19797.98</v>
      </c>
      <c r="V277" s="318">
        <f t="shared" si="89"/>
        <v>2672727.2999999998</v>
      </c>
      <c r="W277" s="334"/>
    </row>
    <row r="278" spans="1:23" ht="13.5" customHeight="1">
      <c r="A278" s="315">
        <f t="shared" si="90"/>
        <v>5</v>
      </c>
      <c r="B278" s="316" t="s">
        <v>96</v>
      </c>
      <c r="C278" s="325">
        <f>IF(ISNA(VLOOKUP(B278,NXT!$Q$57:$R$76,2,0)),0,VLOOKUP(B278,NXT!$Q$57:$R$76,2,0))</f>
        <v>8</v>
      </c>
      <c r="D278" s="69">
        <f t="shared" si="84"/>
        <v>9600</v>
      </c>
      <c r="E278" s="69"/>
      <c r="F278" s="69">
        <v>24000</v>
      </c>
      <c r="G278" s="318">
        <f t="shared" si="91"/>
        <v>230400000</v>
      </c>
      <c r="H278" s="69">
        <f t="shared" si="92"/>
        <v>2070499.3921411086</v>
      </c>
      <c r="I278" s="69">
        <f t="shared" si="93"/>
        <v>5371133.7104825284</v>
      </c>
      <c r="J278" s="69">
        <f t="shared" si="85"/>
        <v>2570981.1698774085</v>
      </c>
      <c r="K278" s="69">
        <f t="shared" si="85"/>
        <v>6024581.6322241686</v>
      </c>
      <c r="L278" s="69">
        <f t="shared" si="86"/>
        <v>2660000</v>
      </c>
      <c r="M278" s="69"/>
      <c r="N278" s="318">
        <f t="shared" si="87"/>
        <v>249097196</v>
      </c>
      <c r="O278" s="326">
        <v>1200</v>
      </c>
      <c r="P278" s="69">
        <f t="shared" si="88"/>
        <v>207580.99666666667</v>
      </c>
      <c r="Q278" s="338"/>
      <c r="R278" s="327" t="s">
        <v>41</v>
      </c>
      <c r="S278" s="383">
        <v>42311</v>
      </c>
      <c r="T278" s="322">
        <v>150</v>
      </c>
      <c r="U278" s="322">
        <v>3500</v>
      </c>
      <c r="V278" s="318">
        <f t="shared" si="89"/>
        <v>525000</v>
      </c>
      <c r="W278" s="334"/>
    </row>
    <row r="279" spans="1:23">
      <c r="A279" s="315">
        <f t="shared" si="90"/>
        <v>6</v>
      </c>
      <c r="B279" s="316" t="s">
        <v>126</v>
      </c>
      <c r="C279" s="325"/>
      <c r="D279" s="69">
        <f t="shared" si="84"/>
        <v>0</v>
      </c>
      <c r="E279" s="69">
        <v>48000</v>
      </c>
      <c r="F279" s="69">
        <f>G279/E279</f>
        <v>89500.974791666667</v>
      </c>
      <c r="G279" s="318">
        <v>4296046790</v>
      </c>
      <c r="H279" s="69">
        <f t="shared" si="92"/>
        <v>0</v>
      </c>
      <c r="I279" s="69">
        <f t="shared" si="93"/>
        <v>6713917.138103161</v>
      </c>
      <c r="J279" s="69">
        <f t="shared" si="85"/>
        <v>0</v>
      </c>
      <c r="K279" s="69">
        <f t="shared" si="85"/>
        <v>0</v>
      </c>
      <c r="L279" s="69">
        <f t="shared" si="86"/>
        <v>71540000</v>
      </c>
      <c r="M279" s="69" t="e">
        <f>34560000/($O$101+#REF!+#REF!)*O279</f>
        <v>#REF!</v>
      </c>
      <c r="N279" s="318">
        <f>ROUND(SUM(G279:L279),0)-1</f>
        <v>4374300706</v>
      </c>
      <c r="O279" s="326">
        <v>48000</v>
      </c>
      <c r="P279" s="69">
        <f t="shared" si="88"/>
        <v>91131.264708333329</v>
      </c>
      <c r="Q279" s="338"/>
      <c r="R279" s="327" t="s">
        <v>108</v>
      </c>
      <c r="S279" s="383">
        <v>42311</v>
      </c>
      <c r="T279" s="322">
        <v>200</v>
      </c>
      <c r="U279" s="328">
        <v>3000</v>
      </c>
      <c r="V279" s="318">
        <f t="shared" si="89"/>
        <v>600000</v>
      </c>
      <c r="W279" s="334"/>
    </row>
    <row r="280" spans="1:23">
      <c r="A280" s="315" t="str">
        <f t="shared" si="90"/>
        <v/>
      </c>
      <c r="B280" s="330"/>
      <c r="C280" s="331"/>
      <c r="D280" s="332"/>
      <c r="E280" s="332"/>
      <c r="F280" s="332"/>
      <c r="G280" s="333"/>
      <c r="H280" s="332"/>
      <c r="I280" s="377"/>
      <c r="J280" s="334"/>
      <c r="K280" s="332"/>
      <c r="L280" s="335"/>
      <c r="M280" s="332"/>
      <c r="N280" s="336"/>
      <c r="O280" s="337"/>
      <c r="P280" s="332"/>
      <c r="Q280" s="338"/>
      <c r="R280" s="327" t="s">
        <v>110</v>
      </c>
      <c r="S280" s="384">
        <v>42313</v>
      </c>
      <c r="T280" s="322">
        <v>1800</v>
      </c>
      <c r="U280" s="322">
        <v>14300</v>
      </c>
      <c r="V280" s="318">
        <f t="shared" si="89"/>
        <v>25740000</v>
      </c>
      <c r="W280" s="334"/>
    </row>
    <row r="281" spans="1:23" s="339" customFormat="1">
      <c r="A281" s="340"/>
      <c r="B281" s="341" t="s">
        <v>349</v>
      </c>
      <c r="C281" s="342"/>
      <c r="D281" s="343">
        <f>SUM(D274:D279)</f>
        <v>228400</v>
      </c>
      <c r="E281" s="343">
        <f>SUM(E274:E279)</f>
        <v>48000</v>
      </c>
      <c r="F281" s="343"/>
      <c r="G281" s="343">
        <f>SUM(G274:G279)</f>
        <v>7632186790</v>
      </c>
      <c r="H281" s="344">
        <f>V285</f>
        <v>49260631.37135721</v>
      </c>
      <c r="I281" s="344">
        <v>134502140</v>
      </c>
      <c r="J281" s="344">
        <v>61167927</v>
      </c>
      <c r="K281" s="344">
        <v>143334838</v>
      </c>
      <c r="L281" s="343">
        <f>ROUND(SUM(L274:L280),0)</f>
        <v>104560000</v>
      </c>
      <c r="M281" s="343" t="e">
        <f>ROUND(SUM(M274:M280),0)</f>
        <v>#REF!</v>
      </c>
      <c r="N281" s="343">
        <f>ROUND(SUM(N274:N280),0)</f>
        <v>8125012326</v>
      </c>
      <c r="O281" s="343">
        <f>ROUND(SUM(O274:O280),0)</f>
        <v>84730</v>
      </c>
      <c r="P281" s="343"/>
      <c r="Q281" s="338"/>
      <c r="R281" s="327" t="s">
        <v>38</v>
      </c>
      <c r="S281" s="384">
        <v>42313</v>
      </c>
      <c r="T281" s="349">
        <v>150</v>
      </c>
      <c r="U281" s="328">
        <v>8500</v>
      </c>
      <c r="V281" s="318">
        <f t="shared" si="89"/>
        <v>1275000</v>
      </c>
      <c r="W281" s="334"/>
    </row>
    <row r="282" spans="1:23" s="292" customFormat="1">
      <c r="A282" s="288"/>
      <c r="B282" s="288"/>
      <c r="C282" s="288"/>
      <c r="D282" s="288"/>
      <c r="E282" s="288"/>
      <c r="F282" s="288"/>
      <c r="G282" s="288"/>
      <c r="H282" s="288"/>
      <c r="I282" s="288"/>
      <c r="J282" s="288"/>
      <c r="K282" s="288"/>
      <c r="L282" s="288"/>
      <c r="M282" s="288"/>
      <c r="N282" s="288"/>
      <c r="O282" s="288"/>
      <c r="P282" s="288"/>
      <c r="Q282" s="338"/>
      <c r="R282" s="351" t="s">
        <v>54</v>
      </c>
      <c r="S282" s="384">
        <v>42313</v>
      </c>
      <c r="T282" s="349">
        <v>5000</v>
      </c>
      <c r="U282" s="328">
        <v>323.05080427144196</v>
      </c>
      <c r="V282" s="318">
        <f t="shared" si="89"/>
        <v>1615254.0213572099</v>
      </c>
      <c r="W282" s="334"/>
    </row>
    <row r="283" spans="1:23">
      <c r="Q283" s="338"/>
      <c r="R283" s="37" t="s">
        <v>58</v>
      </c>
      <c r="S283" s="384">
        <v>42313</v>
      </c>
      <c r="T283" s="322">
        <v>135</v>
      </c>
      <c r="U283" s="322">
        <v>34000</v>
      </c>
      <c r="V283" s="318">
        <f t="shared" si="89"/>
        <v>4590000</v>
      </c>
      <c r="W283" s="334"/>
    </row>
    <row r="284" spans="1:23">
      <c r="Q284" s="338"/>
      <c r="R284" s="385"/>
      <c r="S284" s="321"/>
      <c r="T284" s="322"/>
      <c r="U284" s="322"/>
      <c r="V284" s="334"/>
      <c r="W284" s="334"/>
    </row>
    <row r="285" spans="1:23">
      <c r="Q285" s="338"/>
      <c r="R285" s="372"/>
      <c r="S285" s="373"/>
      <c r="T285" s="374"/>
      <c r="U285" s="386"/>
      <c r="V285" s="355">
        <f>SUM(V274:V284)</f>
        <v>49260631.37135721</v>
      </c>
      <c r="W285" s="355">
        <f>SUM(W274:W284)</f>
        <v>0</v>
      </c>
    </row>
    <row r="286" spans="1:23">
      <c r="R286" s="349" t="s">
        <v>276</v>
      </c>
      <c r="S286" s="383">
        <v>42313</v>
      </c>
      <c r="T286" s="322">
        <v>555</v>
      </c>
      <c r="U286" s="322">
        <v>12000</v>
      </c>
      <c r="V286" s="318">
        <f t="shared" ref="V286:V291" si="94">T286*U286</f>
        <v>6660000</v>
      </c>
      <c r="W286" s="318"/>
    </row>
    <row r="287" spans="1:23">
      <c r="R287" s="327" t="s">
        <v>47</v>
      </c>
      <c r="S287" s="383">
        <v>42333</v>
      </c>
      <c r="T287" s="328">
        <v>200</v>
      </c>
      <c r="U287" s="328">
        <v>16800</v>
      </c>
      <c r="V287" s="318">
        <f t="shared" si="94"/>
        <v>3360000</v>
      </c>
      <c r="W287" s="334"/>
    </row>
    <row r="288" spans="1:23">
      <c r="R288" s="349" t="s">
        <v>104</v>
      </c>
      <c r="S288" s="383">
        <v>42333</v>
      </c>
      <c r="T288" s="328">
        <v>2350</v>
      </c>
      <c r="U288" s="328">
        <v>4500</v>
      </c>
      <c r="V288" s="318">
        <f t="shared" si="94"/>
        <v>10575000</v>
      </c>
      <c r="W288" s="334"/>
    </row>
    <row r="289" spans="1:23">
      <c r="R289" s="327" t="s">
        <v>397</v>
      </c>
      <c r="S289" s="321">
        <v>42335</v>
      </c>
      <c r="T289" s="328">
        <v>450</v>
      </c>
      <c r="U289" s="328">
        <v>21700</v>
      </c>
      <c r="V289" s="318">
        <f t="shared" si="94"/>
        <v>9765000</v>
      </c>
      <c r="W289" s="334"/>
    </row>
    <row r="290" spans="1:23">
      <c r="R290" s="327" t="s">
        <v>100</v>
      </c>
      <c r="S290" s="321">
        <v>42335</v>
      </c>
      <c r="T290" s="328">
        <v>133</v>
      </c>
      <c r="U290" s="328">
        <v>20000</v>
      </c>
      <c r="V290" s="318">
        <f t="shared" si="94"/>
        <v>2660000</v>
      </c>
      <c r="W290" s="334"/>
    </row>
    <row r="291" spans="1:23">
      <c r="R291" s="349" t="s">
        <v>391</v>
      </c>
      <c r="S291" s="321">
        <v>42323</v>
      </c>
      <c r="T291" s="328">
        <v>4900</v>
      </c>
      <c r="U291" s="328">
        <v>14600</v>
      </c>
      <c r="V291" s="318">
        <f t="shared" si="94"/>
        <v>71540000</v>
      </c>
      <c r="W291" s="334"/>
    </row>
    <row r="292" spans="1:23">
      <c r="R292" s="349"/>
      <c r="S292" s="321"/>
      <c r="T292" s="328"/>
      <c r="U292" s="328"/>
      <c r="V292" s="387">
        <f>SUM(V286:V291)</f>
        <v>104560000</v>
      </c>
      <c r="W292" s="334"/>
    </row>
    <row r="293" spans="1:23">
      <c r="A293" s="299"/>
      <c r="B293" s="299"/>
      <c r="C293" s="299"/>
      <c r="D293" s="299"/>
      <c r="E293" s="299"/>
      <c r="F293" s="299"/>
      <c r="G293" s="299"/>
      <c r="H293" s="299"/>
      <c r="I293" s="299"/>
      <c r="J293" s="299"/>
      <c r="K293" s="299"/>
      <c r="L293" s="299"/>
      <c r="M293" s="299"/>
      <c r="N293" s="299"/>
      <c r="O293" s="299"/>
      <c r="P293" s="299"/>
      <c r="R293" s="291"/>
      <c r="S293" s="298"/>
    </row>
    <row r="294" spans="1:23" ht="20.25" customHeight="1">
      <c r="A294" s="292" t="s">
        <v>333</v>
      </c>
      <c r="B294" s="292"/>
      <c r="C294" s="293"/>
      <c r="D294" s="294"/>
      <c r="E294" s="294"/>
      <c r="F294" s="294"/>
      <c r="G294" s="291"/>
      <c r="H294" s="291"/>
      <c r="I294" s="291"/>
      <c r="J294" s="291"/>
      <c r="K294" s="291"/>
      <c r="L294" s="295"/>
      <c r="M294" s="291"/>
      <c r="N294" s="291"/>
      <c r="O294" s="296"/>
      <c r="P294" s="291"/>
      <c r="Q294" s="297"/>
      <c r="R294" s="291"/>
      <c r="S294" s="298"/>
    </row>
    <row r="295" spans="1:23" ht="20.25" customHeight="1">
      <c r="A295" s="299" t="s">
        <v>360</v>
      </c>
      <c r="B295" s="299"/>
      <c r="C295" s="299"/>
      <c r="D295" s="299"/>
      <c r="E295" s="299"/>
      <c r="F295" s="299"/>
      <c r="G295" s="299"/>
      <c r="H295" s="299"/>
      <c r="I295" s="299"/>
      <c r="J295" s="299"/>
      <c r="K295" s="299"/>
      <c r="L295" s="299"/>
      <c r="M295" s="299"/>
      <c r="N295" s="299"/>
      <c r="O295" s="299"/>
      <c r="P295" s="299"/>
      <c r="Q295" s="297"/>
      <c r="R295" s="291"/>
      <c r="S295" s="298"/>
    </row>
    <row r="296" spans="1:23" ht="12" customHeight="1">
      <c r="A296" s="300"/>
      <c r="B296" s="300"/>
      <c r="C296" s="301"/>
      <c r="D296" s="300"/>
      <c r="E296" s="300"/>
      <c r="F296" s="300"/>
      <c r="G296" s="300"/>
      <c r="H296" s="300"/>
      <c r="I296" s="300"/>
      <c r="J296" s="300"/>
      <c r="K296" s="300"/>
      <c r="L296" s="299"/>
      <c r="M296" s="300"/>
      <c r="N296" s="300"/>
      <c r="O296" s="302"/>
      <c r="P296" s="300"/>
      <c r="Q296" s="297"/>
      <c r="R296" s="291"/>
      <c r="S296" s="298"/>
    </row>
    <row r="297" spans="1:23" ht="12" customHeight="1">
      <c r="A297" s="303"/>
      <c r="B297" s="303"/>
      <c r="C297" s="304"/>
      <c r="D297" s="303"/>
      <c r="E297" s="303"/>
      <c r="F297" s="303"/>
      <c r="G297" s="303"/>
      <c r="H297" s="303"/>
      <c r="I297" s="303"/>
      <c r="J297" s="303"/>
      <c r="K297" s="303"/>
      <c r="L297" s="303"/>
      <c r="M297" s="303"/>
      <c r="N297" s="303"/>
      <c r="O297" s="305"/>
      <c r="P297" s="303"/>
      <c r="Q297" s="297"/>
      <c r="R297" s="291"/>
      <c r="S297" s="298"/>
    </row>
    <row r="298" spans="1:23" ht="36.75" customHeight="1">
      <c r="A298" s="308" t="s">
        <v>30</v>
      </c>
      <c r="B298" s="308" t="s">
        <v>335</v>
      </c>
      <c r="C298" s="309" t="s">
        <v>336</v>
      </c>
      <c r="D298" s="310" t="s">
        <v>337</v>
      </c>
      <c r="E298" s="310" t="s">
        <v>347</v>
      </c>
      <c r="F298" s="310" t="s">
        <v>338</v>
      </c>
      <c r="G298" s="310" t="s">
        <v>339</v>
      </c>
      <c r="H298" s="310" t="s">
        <v>340</v>
      </c>
      <c r="I298" s="310" t="s">
        <v>341</v>
      </c>
      <c r="J298" s="310" t="s">
        <v>342</v>
      </c>
      <c r="K298" s="311" t="s">
        <v>343</v>
      </c>
      <c r="L298" s="310" t="s">
        <v>344</v>
      </c>
      <c r="M298" s="311" t="s">
        <v>345</v>
      </c>
      <c r="N298" s="310" t="s">
        <v>346</v>
      </c>
      <c r="O298" s="312" t="s">
        <v>347</v>
      </c>
      <c r="P298" s="310" t="s">
        <v>348</v>
      </c>
      <c r="Q298" s="297"/>
      <c r="R298" s="308" t="s">
        <v>335</v>
      </c>
      <c r="S298" s="310" t="s">
        <v>80</v>
      </c>
      <c r="T298" s="310" t="s">
        <v>64</v>
      </c>
      <c r="U298" s="310" t="s">
        <v>338</v>
      </c>
      <c r="V298" s="310" t="s">
        <v>111</v>
      </c>
      <c r="W298" s="308" t="s">
        <v>111</v>
      </c>
    </row>
    <row r="299" spans="1:23" s="314" customFormat="1" ht="13.5" customHeight="1">
      <c r="A299" s="315">
        <f>IF(B299&lt;&gt;"",ROW()-(ROW()-1),"")</f>
        <v>1</v>
      </c>
      <c r="B299" s="388" t="s">
        <v>122</v>
      </c>
      <c r="C299" s="325">
        <f>IF(ISNA(VLOOKUP(B299,NXT!$Q$57:$R$76,2,0)),0,VLOOKUP(B299,NXT!$Q$57:$R$76,2,0))</f>
        <v>5</v>
      </c>
      <c r="D299" s="69">
        <f t="shared" ref="D299:D304" si="95">ROUND(C299*O299,0)</f>
        <v>18660</v>
      </c>
      <c r="E299" s="69"/>
      <c r="F299" s="69">
        <v>29500</v>
      </c>
      <c r="G299" s="318">
        <f>(D299+E299)*F299</f>
        <v>550470000</v>
      </c>
      <c r="H299" s="69">
        <f>IF($D$306&lt;&gt;0,H$306/$D$306*$D299,0)</f>
        <v>3760973.7570173279</v>
      </c>
      <c r="I299" s="69">
        <f>IF($D$306&lt;&gt;0,I$306/($D$306+$E$306/4)*($D299+$E299/4),0)</f>
        <v>13165868.545176603</v>
      </c>
      <c r="J299" s="69">
        <f t="shared" ref="J299:K304" si="96">IF($D$306&lt;&gt;0,J$306/$D$306*$D299,0)</f>
        <v>8494335.5684286747</v>
      </c>
      <c r="K299" s="69">
        <f t="shared" si="96"/>
        <v>14346169.519671734</v>
      </c>
      <c r="L299" s="462">
        <f>V311+($V$314/SUM($O$299:$O$301)*O299)</f>
        <v>65249396.328293733</v>
      </c>
      <c r="M299" s="69" t="e">
        <f>34560000/($O$101+#REF!+#REF!)*O299</f>
        <v>#REF!</v>
      </c>
      <c r="N299" s="318">
        <f t="shared" ref="N299:N304" si="97">ROUND(SUM(G299:L299),0)</f>
        <v>655486744</v>
      </c>
      <c r="O299" s="69">
        <v>3732</v>
      </c>
      <c r="P299" s="69">
        <f t="shared" ref="P299:P304" si="98">IF(N299&lt;&gt;0,N299/O299,0)</f>
        <v>175639.53483386923</v>
      </c>
      <c r="Q299" s="313"/>
      <c r="R299" s="320" t="s">
        <v>39</v>
      </c>
      <c r="S299" s="383">
        <v>42340</v>
      </c>
      <c r="T299" s="322">
        <v>150</v>
      </c>
      <c r="U299" s="322">
        <v>31000</v>
      </c>
      <c r="V299" s="318">
        <f t="shared" ref="V299:V308" si="99">T299*U299</f>
        <v>4650000</v>
      </c>
      <c r="W299" s="318"/>
    </row>
    <row r="300" spans="1:23" ht="13.5" customHeight="1">
      <c r="A300" s="315">
        <f t="shared" ref="A300:A305" si="100">IF(B300&lt;&gt;"",A299+1,"")</f>
        <v>2</v>
      </c>
      <c r="B300" s="316" t="s">
        <v>121</v>
      </c>
      <c r="C300" s="325">
        <f>IF(ISNA(VLOOKUP(B300,NXT!$Q$57:$R$76,2,0)),0,VLOOKUP(B300,NXT!$Q$57:$R$76,2,0))</f>
        <v>5</v>
      </c>
      <c r="D300" s="69">
        <f t="shared" si="95"/>
        <v>25650</v>
      </c>
      <c r="E300" s="69"/>
      <c r="F300" s="69">
        <v>29500</v>
      </c>
      <c r="G300" s="318">
        <f t="shared" ref="G300:G304" si="101">(D300+E300)*F300</f>
        <v>756675000</v>
      </c>
      <c r="H300" s="69">
        <f t="shared" ref="H300:H304" si="102">IF($D$306&lt;&gt;0,H$306/$D$306*$D300,0)</f>
        <v>5169827.270498096</v>
      </c>
      <c r="I300" s="69">
        <f t="shared" ref="I300:I304" si="103">IF($D$306&lt;&gt;0,I$306/($D$306+$E$306/4)*($D300+$E300/4),0)</f>
        <v>18097777.501810282</v>
      </c>
      <c r="J300" s="69">
        <f t="shared" si="96"/>
        <v>11676297.284576394</v>
      </c>
      <c r="K300" s="69">
        <f t="shared" si="96"/>
        <v>19720216.944243301</v>
      </c>
      <c r="L300" s="462">
        <f t="shared" ref="L300:L301" si="104">V312+($V$314/SUM($O$299:$O$301)*O300)</f>
        <v>93038141.576673865</v>
      </c>
      <c r="M300" s="69"/>
      <c r="N300" s="318">
        <f t="shared" si="97"/>
        <v>904377261</v>
      </c>
      <c r="O300" s="326">
        <v>5130</v>
      </c>
      <c r="P300" s="69">
        <f t="shared" si="98"/>
        <v>176291.86374269007</v>
      </c>
      <c r="Q300" s="338"/>
      <c r="R300" s="327" t="s">
        <v>49</v>
      </c>
      <c r="S300" s="383">
        <v>42340</v>
      </c>
      <c r="T300" s="322">
        <v>125</v>
      </c>
      <c r="U300" s="322">
        <v>46741.2</v>
      </c>
      <c r="V300" s="318">
        <f t="shared" si="99"/>
        <v>5842650</v>
      </c>
      <c r="W300" s="334"/>
    </row>
    <row r="301" spans="1:23" ht="13.5" customHeight="1">
      <c r="A301" s="315">
        <f t="shared" si="100"/>
        <v>3</v>
      </c>
      <c r="B301" s="316" t="s">
        <v>120</v>
      </c>
      <c r="C301" s="325">
        <f>IF(ISNA(VLOOKUP(B301,NXT!$Q$57:$R$76,2,0)),0,VLOOKUP(B301,NXT!$Q$57:$R$76,2,0))</f>
        <v>4.5</v>
      </c>
      <c r="D301" s="69">
        <f t="shared" si="95"/>
        <v>10125</v>
      </c>
      <c r="E301" s="69"/>
      <c r="F301" s="69">
        <v>17500</v>
      </c>
      <c r="G301" s="318">
        <f t="shared" si="101"/>
        <v>177187500</v>
      </c>
      <c r="H301" s="69">
        <f t="shared" si="102"/>
        <v>2040721.2909860904</v>
      </c>
      <c r="I301" s="69">
        <f t="shared" si="103"/>
        <v>7143859.5401882688</v>
      </c>
      <c r="J301" s="69">
        <f t="shared" si="96"/>
        <v>4609064.7175959451</v>
      </c>
      <c r="K301" s="69">
        <f t="shared" si="96"/>
        <v>7784296.1622013031</v>
      </c>
      <c r="L301" s="462">
        <f t="shared" si="104"/>
        <v>30254452.095032398</v>
      </c>
      <c r="M301" s="69">
        <v>25840000</v>
      </c>
      <c r="N301" s="318">
        <f t="shared" si="97"/>
        <v>229019894</v>
      </c>
      <c r="O301" s="326">
        <v>2250</v>
      </c>
      <c r="P301" s="69">
        <f t="shared" si="98"/>
        <v>101786.61955555556</v>
      </c>
      <c r="Q301" s="338"/>
      <c r="R301" s="327" t="s">
        <v>40</v>
      </c>
      <c r="S301" s="383">
        <v>42340</v>
      </c>
      <c r="T301" s="322">
        <v>150</v>
      </c>
      <c r="U301" s="322">
        <v>11666.666999999999</v>
      </c>
      <c r="V301" s="318">
        <f t="shared" si="99"/>
        <v>1750000.0499999998</v>
      </c>
      <c r="W301" s="334"/>
    </row>
    <row r="302" spans="1:23" ht="13.5" customHeight="1">
      <c r="A302" s="315">
        <f t="shared" si="100"/>
        <v>4</v>
      </c>
      <c r="B302" s="316" t="s">
        <v>382</v>
      </c>
      <c r="C302" s="325">
        <f>IF(ISNA(VLOOKUP(B302,NXT!$Q$57:$R$76,2,0)),0,VLOOKUP(B302,NXT!$Q$57:$R$76,2,0))</f>
        <v>11</v>
      </c>
      <c r="D302" s="69">
        <f t="shared" si="95"/>
        <v>132000</v>
      </c>
      <c r="E302" s="69"/>
      <c r="F302" s="69">
        <v>11000</v>
      </c>
      <c r="G302" s="318">
        <f t="shared" si="101"/>
        <v>1452000000</v>
      </c>
      <c r="H302" s="69">
        <f t="shared" si="102"/>
        <v>26604959.052855697</v>
      </c>
      <c r="I302" s="69">
        <f t="shared" si="103"/>
        <v>93134761.412824839</v>
      </c>
      <c r="J302" s="69">
        <f t="shared" si="96"/>
        <v>60088547.429398991</v>
      </c>
      <c r="K302" s="69">
        <f t="shared" si="96"/>
        <v>101484157.37388365</v>
      </c>
      <c r="L302" s="69">
        <f>SUM($V$315:$V$317)</f>
        <v>16280000</v>
      </c>
      <c r="M302" s="69" t="e">
        <f>34560000/($O$101+#REF!+#REF!)*O302</f>
        <v>#REF!</v>
      </c>
      <c r="N302" s="318">
        <f>ROUND(SUM(G302:L302),0)-1</f>
        <v>1749592424</v>
      </c>
      <c r="O302" s="326">
        <v>12000</v>
      </c>
      <c r="P302" s="69">
        <f t="shared" si="98"/>
        <v>145799.36866666668</v>
      </c>
      <c r="Q302" s="338"/>
      <c r="R302" s="327" t="s">
        <v>66</v>
      </c>
      <c r="S302" s="383">
        <v>42340</v>
      </c>
      <c r="T302" s="322">
        <v>135</v>
      </c>
      <c r="U302" s="322">
        <v>19797.98</v>
      </c>
      <c r="V302" s="318">
        <f t="shared" si="99"/>
        <v>2672727.2999999998</v>
      </c>
      <c r="W302" s="334"/>
    </row>
    <row r="303" spans="1:23" ht="13.5" customHeight="1">
      <c r="A303" s="315" t="str">
        <f t="shared" si="100"/>
        <v/>
      </c>
      <c r="B303" s="316"/>
      <c r="C303" s="325">
        <f>IF(ISNA(VLOOKUP(B303,NXT!$Q$57:$R$76,2,0)),0,VLOOKUP(B303,NXT!$Q$57:$R$76,2,0))</f>
        <v>0</v>
      </c>
      <c r="D303" s="69">
        <f t="shared" si="95"/>
        <v>0</v>
      </c>
      <c r="E303" s="69"/>
      <c r="F303" s="69"/>
      <c r="G303" s="318">
        <f t="shared" si="101"/>
        <v>0</v>
      </c>
      <c r="H303" s="69">
        <f t="shared" si="102"/>
        <v>0</v>
      </c>
      <c r="I303" s="69">
        <f t="shared" si="103"/>
        <v>0</v>
      </c>
      <c r="J303" s="69">
        <f t="shared" si="96"/>
        <v>0</v>
      </c>
      <c r="K303" s="69">
        <f t="shared" si="96"/>
        <v>0</v>
      </c>
      <c r="L303" s="69"/>
      <c r="M303" s="69"/>
      <c r="N303" s="318">
        <f t="shared" si="97"/>
        <v>0</v>
      </c>
      <c r="O303" s="326"/>
      <c r="P303" s="69">
        <f t="shared" si="98"/>
        <v>0</v>
      </c>
      <c r="Q303" s="338"/>
      <c r="R303" s="327" t="s">
        <v>41</v>
      </c>
      <c r="S303" s="383">
        <v>42344</v>
      </c>
      <c r="T303" s="322">
        <v>50</v>
      </c>
      <c r="U303" s="322">
        <v>3500</v>
      </c>
      <c r="V303" s="318">
        <f t="shared" si="99"/>
        <v>175000</v>
      </c>
      <c r="W303" s="334"/>
    </row>
    <row r="304" spans="1:23">
      <c r="A304" s="315" t="str">
        <f t="shared" si="100"/>
        <v/>
      </c>
      <c r="B304" s="316"/>
      <c r="C304" s="325">
        <f>IF(ISNA(VLOOKUP(B304,NXT!$Q$57:$R$76,2,0)),0,VLOOKUP(B304,NXT!$Q$57:$R$76,2,0))</f>
        <v>0</v>
      </c>
      <c r="D304" s="69">
        <f t="shared" si="95"/>
        <v>0</v>
      </c>
      <c r="E304" s="69"/>
      <c r="F304" s="69"/>
      <c r="G304" s="318">
        <f t="shared" si="101"/>
        <v>0</v>
      </c>
      <c r="H304" s="69">
        <f t="shared" si="102"/>
        <v>0</v>
      </c>
      <c r="I304" s="69">
        <f t="shared" si="103"/>
        <v>0</v>
      </c>
      <c r="J304" s="69">
        <f t="shared" si="96"/>
        <v>0</v>
      </c>
      <c r="K304" s="69">
        <f t="shared" si="96"/>
        <v>0</v>
      </c>
      <c r="L304" s="69"/>
      <c r="M304" s="69" t="e">
        <f>34560000/($O$101+#REF!+#REF!)*O304</f>
        <v>#REF!</v>
      </c>
      <c r="N304" s="318">
        <f t="shared" si="97"/>
        <v>0</v>
      </c>
      <c r="O304" s="326"/>
      <c r="P304" s="69">
        <f t="shared" si="98"/>
        <v>0</v>
      </c>
      <c r="Q304" s="338"/>
      <c r="R304" s="327" t="s">
        <v>108</v>
      </c>
      <c r="S304" s="383">
        <v>42344</v>
      </c>
      <c r="T304" s="322">
        <v>191</v>
      </c>
      <c r="U304" s="328">
        <v>3000</v>
      </c>
      <c r="V304" s="318">
        <f t="shared" si="99"/>
        <v>573000</v>
      </c>
      <c r="W304" s="334"/>
    </row>
    <row r="305" spans="1:23">
      <c r="A305" s="315" t="str">
        <f t="shared" si="100"/>
        <v/>
      </c>
      <c r="B305" s="330"/>
      <c r="C305" s="331"/>
      <c r="D305" s="332"/>
      <c r="E305" s="332"/>
      <c r="F305" s="332"/>
      <c r="G305" s="333"/>
      <c r="H305" s="332"/>
      <c r="I305" s="377"/>
      <c r="J305" s="334"/>
      <c r="K305" s="332"/>
      <c r="L305" s="335"/>
      <c r="M305" s="332"/>
      <c r="N305" s="336"/>
      <c r="O305" s="337"/>
      <c r="P305" s="332"/>
      <c r="Q305" s="338"/>
      <c r="R305" s="327" t="s">
        <v>110</v>
      </c>
      <c r="S305" s="383">
        <v>42344</v>
      </c>
      <c r="T305" s="322">
        <v>1350</v>
      </c>
      <c r="U305" s="322">
        <v>14091</v>
      </c>
      <c r="V305" s="318">
        <f t="shared" si="99"/>
        <v>19022850</v>
      </c>
      <c r="W305" s="334"/>
    </row>
    <row r="306" spans="1:23" s="339" customFormat="1">
      <c r="A306" s="340"/>
      <c r="B306" s="341" t="s">
        <v>349</v>
      </c>
      <c r="C306" s="342"/>
      <c r="D306" s="343">
        <f>SUM(D299:D304)</f>
        <v>186435</v>
      </c>
      <c r="E306" s="343">
        <f>SUM(E299:E304)</f>
        <v>0</v>
      </c>
      <c r="F306" s="343"/>
      <c r="G306" s="343">
        <f>SUM(G299:G304)</f>
        <v>2936332500</v>
      </c>
      <c r="H306" s="344">
        <f>V310</f>
        <v>37576481.37135721</v>
      </c>
      <c r="I306" s="344">
        <v>131542267</v>
      </c>
      <c r="J306" s="344">
        <v>84868245</v>
      </c>
      <c r="K306" s="344">
        <v>143334840</v>
      </c>
      <c r="L306" s="343">
        <f>ROUND(SUM(L299:L305),0)</f>
        <v>204821990</v>
      </c>
      <c r="M306" s="343" t="e">
        <f>ROUND(SUM(M299:M305),0)</f>
        <v>#REF!</v>
      </c>
      <c r="N306" s="343">
        <f>ROUND(SUM(N299:N305),0)</f>
        <v>3538476323</v>
      </c>
      <c r="O306" s="343">
        <f>ROUND(SUM(O299:O305),0)</f>
        <v>23112</v>
      </c>
      <c r="P306" s="343"/>
      <c r="Q306" s="338"/>
      <c r="R306" s="327" t="s">
        <v>38</v>
      </c>
      <c r="S306" s="321">
        <v>42348</v>
      </c>
      <c r="T306" s="349">
        <v>150</v>
      </c>
      <c r="U306" s="328">
        <v>8500</v>
      </c>
      <c r="V306" s="318">
        <f t="shared" si="99"/>
        <v>1275000</v>
      </c>
      <c r="W306" s="334"/>
    </row>
    <row r="307" spans="1:23" s="292" customFormat="1">
      <c r="A307" s="288"/>
      <c r="B307" s="288"/>
      <c r="C307" s="288"/>
      <c r="D307" s="288"/>
      <c r="E307" s="288"/>
      <c r="F307" s="288"/>
      <c r="G307" s="288"/>
      <c r="H307" s="288"/>
      <c r="I307" s="288"/>
      <c r="J307" s="288"/>
      <c r="K307" s="288"/>
      <c r="L307" s="288"/>
      <c r="M307" s="288"/>
      <c r="N307" s="288"/>
      <c r="O307" s="288"/>
      <c r="P307" s="288"/>
      <c r="Q307" s="338"/>
      <c r="R307" s="351" t="s">
        <v>54</v>
      </c>
      <c r="S307" s="321">
        <v>42348</v>
      </c>
      <c r="T307" s="349">
        <v>5000</v>
      </c>
      <c r="U307" s="328">
        <v>323.05080427144196</v>
      </c>
      <c r="V307" s="318">
        <f t="shared" si="99"/>
        <v>1615254.0213572099</v>
      </c>
      <c r="W307" s="334"/>
    </row>
    <row r="308" spans="1:23">
      <c r="L308" s="296">
        <f>L306-V318</f>
        <v>0</v>
      </c>
      <c r="Q308" s="338"/>
      <c r="R308" s="37"/>
      <c r="S308" s="321"/>
      <c r="T308" s="322"/>
      <c r="U308" s="322"/>
      <c r="V308" s="318">
        <f t="shared" si="99"/>
        <v>0</v>
      </c>
      <c r="W308" s="334"/>
    </row>
    <row r="309" spans="1:23">
      <c r="Q309" s="338"/>
      <c r="R309" s="385"/>
      <c r="S309" s="321"/>
      <c r="T309" s="322"/>
      <c r="U309" s="322"/>
      <c r="V309" s="334"/>
      <c r="W309" s="334"/>
    </row>
    <row r="310" spans="1:23">
      <c r="Q310" s="338"/>
      <c r="R310" s="372"/>
      <c r="S310" s="373"/>
      <c r="T310" s="374"/>
      <c r="U310" s="386"/>
      <c r="V310" s="355">
        <f>SUM(V299:V309)</f>
        <v>37576481.37135721</v>
      </c>
      <c r="W310" s="355">
        <f>SUM(W299:W309)</f>
        <v>0</v>
      </c>
    </row>
    <row r="311" spans="1:23">
      <c r="R311" s="375" t="s">
        <v>105</v>
      </c>
      <c r="S311" s="383">
        <v>42348</v>
      </c>
      <c r="T311" s="322">
        <v>134100</v>
      </c>
      <c r="U311" s="322">
        <f>V311/T311</f>
        <v>382.14765100671138</v>
      </c>
      <c r="V311" s="318">
        <v>51246000</v>
      </c>
      <c r="W311" s="318"/>
    </row>
    <row r="312" spans="1:23">
      <c r="R312" s="327" t="s">
        <v>106</v>
      </c>
      <c r="S312" s="383">
        <v>42348</v>
      </c>
      <c r="T312" s="328">
        <v>108390</v>
      </c>
      <c r="U312" s="322">
        <f t="shared" ref="U312:U313" si="105">V312/T312</f>
        <v>680.77405664729224</v>
      </c>
      <c r="V312" s="318">
        <v>73789100</v>
      </c>
      <c r="W312" s="334"/>
    </row>
    <row r="313" spans="1:23">
      <c r="R313" s="327" t="s">
        <v>125</v>
      </c>
      <c r="S313" s="383">
        <v>42348</v>
      </c>
      <c r="T313" s="328">
        <v>108600</v>
      </c>
      <c r="U313" s="322">
        <f t="shared" si="105"/>
        <v>200.84613259668509</v>
      </c>
      <c r="V313" s="318">
        <v>21811890</v>
      </c>
      <c r="W313" s="334"/>
    </row>
    <row r="314" spans="1:23">
      <c r="R314" s="327" t="s">
        <v>46</v>
      </c>
      <c r="S314" s="383">
        <v>42348</v>
      </c>
      <c r="T314" s="328">
        <v>16678</v>
      </c>
      <c r="U314" s="328">
        <v>2500</v>
      </c>
      <c r="V314" s="318">
        <f t="shared" ref="V314:V317" si="106">T314*U314</f>
        <v>41695000</v>
      </c>
      <c r="W314" s="334"/>
    </row>
    <row r="315" spans="1:23">
      <c r="R315" s="327" t="s">
        <v>392</v>
      </c>
      <c r="S315" s="321">
        <v>42365</v>
      </c>
      <c r="T315" s="328">
        <v>250</v>
      </c>
      <c r="U315" s="328">
        <v>9500</v>
      </c>
      <c r="V315" s="318">
        <f t="shared" si="106"/>
        <v>2375000</v>
      </c>
      <c r="W315" s="334"/>
    </row>
    <row r="316" spans="1:23">
      <c r="R316" s="327" t="s">
        <v>276</v>
      </c>
      <c r="S316" s="321">
        <v>42365</v>
      </c>
      <c r="T316" s="328">
        <v>800</v>
      </c>
      <c r="U316" s="328">
        <v>12000</v>
      </c>
      <c r="V316" s="318">
        <f t="shared" si="106"/>
        <v>9600000</v>
      </c>
      <c r="W316" s="334"/>
    </row>
    <row r="317" spans="1:23">
      <c r="R317" s="349" t="s">
        <v>390</v>
      </c>
      <c r="S317" s="321">
        <v>42365</v>
      </c>
      <c r="T317" s="328">
        <v>350</v>
      </c>
      <c r="U317" s="328">
        <v>12300</v>
      </c>
      <c r="V317" s="318">
        <f t="shared" si="106"/>
        <v>4305000</v>
      </c>
      <c r="W317" s="334"/>
    </row>
    <row r="318" spans="1:23">
      <c r="R318" s="349"/>
      <c r="S318" s="321"/>
      <c r="T318" s="328"/>
      <c r="U318" s="328"/>
      <c r="V318" s="387">
        <f>SUM(V311:V317)</f>
        <v>204821990</v>
      </c>
      <c r="W318" s="334"/>
    </row>
    <row r="320" spans="1:23">
      <c r="G320" s="291"/>
      <c r="N320" s="291"/>
    </row>
    <row r="321" spans="7:14">
      <c r="G321" s="291"/>
      <c r="H321" s="291"/>
      <c r="I321" s="291"/>
      <c r="J321" s="291"/>
      <c r="K321" s="291"/>
      <c r="L321" s="291"/>
      <c r="M321" s="291"/>
      <c r="N321" s="291"/>
    </row>
    <row r="322" spans="7:14">
      <c r="G322" s="358"/>
      <c r="N322" s="358"/>
    </row>
  </sheetData>
  <mergeCells count="3">
    <mergeCell ref="S5:T5"/>
    <mergeCell ref="V5:W5"/>
    <mergeCell ref="R22:T22"/>
  </mergeCells>
  <dataValidations count="2">
    <dataValidation type="list" allowBlank="1" showInputMessage="1" showErrorMessage="1" sqref="R298 R193 R122 R100 R33 R66 R6 R170 R142 R247 R220 R273">
      <formula1>DSNXT1</formula1>
    </dataValidation>
    <dataValidation type="list" allowBlank="1" showInputMessage="1" showErrorMessage="1" sqref="B172 B250 B123:B125 B146">
      <formula1>Loai3</formula1>
    </dataValidation>
  </dataValidations>
  <pageMargins left="0.6" right="0.16" top="0.55000000000000004" bottom="1" header="0.5" footer="0.5"/>
  <pageSetup scale="90" orientation="landscape" r:id="rId1"/>
  <headerFooter alignWithMargins="0"/>
  <ignoredErrors>
    <ignoredError sqref="I123:I124 I143:I146 I171:I173 I274:I279 I299:I304 I221:I222 I194 I195:I197 I174 I223:I225 I248:I253"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0"/>
  </sheetPr>
  <dimension ref="A1:J19"/>
  <sheetViews>
    <sheetView zoomScale="90" workbookViewId="0">
      <pane ySplit="10" topLeftCell="A11" activePane="bottomLeft" state="frozen"/>
      <selection pane="bottomLeft" activeCell="J2" sqref="J2"/>
    </sheetView>
  </sheetViews>
  <sheetFormatPr defaultColWidth="10.28515625" defaultRowHeight="12.75"/>
  <cols>
    <col min="1" max="1" width="40.42578125" style="417" customWidth="1"/>
    <col min="2" max="2" width="15.7109375" style="417" customWidth="1"/>
    <col min="3" max="3" width="16.85546875" style="417" customWidth="1"/>
    <col min="4" max="8" width="15.28515625" style="417" customWidth="1"/>
    <col min="9" max="9" width="10.140625" style="417" customWidth="1"/>
    <col min="10" max="10" width="5.85546875" style="417" customWidth="1"/>
    <col min="11" max="16384" width="10.28515625" style="417"/>
  </cols>
  <sheetData>
    <row r="1" spans="1:10" s="392" customFormat="1" ht="15" customHeight="1">
      <c r="A1" s="391" t="s">
        <v>43</v>
      </c>
      <c r="B1" s="391"/>
      <c r="D1" s="393"/>
      <c r="E1" s="393"/>
      <c r="F1" s="566" t="s">
        <v>361</v>
      </c>
      <c r="G1" s="566"/>
      <c r="H1" s="566"/>
      <c r="I1" s="394"/>
      <c r="J1" s="421"/>
    </row>
    <row r="2" spans="1:10" s="392" customFormat="1" ht="29.25" customHeight="1">
      <c r="A2" s="391" t="s">
        <v>362</v>
      </c>
      <c r="B2" s="391"/>
      <c r="D2" s="395"/>
      <c r="E2" s="395"/>
      <c r="F2" s="567" t="s">
        <v>363</v>
      </c>
      <c r="G2" s="567"/>
      <c r="H2" s="567"/>
      <c r="I2" s="394"/>
      <c r="J2" s="271">
        <v>6</v>
      </c>
    </row>
    <row r="3" spans="1:10" s="392" customFormat="1" ht="15">
      <c r="A3" s="396"/>
      <c r="B3" s="397"/>
      <c r="C3" s="395"/>
      <c r="D3" s="395"/>
      <c r="E3" s="395"/>
      <c r="F3" s="567"/>
      <c r="G3" s="567"/>
      <c r="H3" s="567"/>
      <c r="I3" s="394"/>
    </row>
    <row r="4" spans="1:10" s="399" customFormat="1" ht="17.25" customHeight="1">
      <c r="A4" s="568" t="s">
        <v>364</v>
      </c>
      <c r="B4" s="568"/>
      <c r="C4" s="568"/>
      <c r="D4" s="568"/>
      <c r="E4" s="568"/>
      <c r="F4" s="568"/>
      <c r="G4" s="568"/>
      <c r="H4" s="568"/>
      <c r="I4" s="398"/>
    </row>
    <row r="5" spans="1:10" s="401" customFormat="1" ht="17.25" customHeight="1">
      <c r="B5" s="419"/>
      <c r="C5" s="420" t="s">
        <v>154</v>
      </c>
      <c r="D5" s="419" t="str">
        <f>IF($J$2&lt;10,"0"&amp;$J$2&amp;"  năm 2015",$J$2&amp;"  năm 2015")</f>
        <v>06  năm 2015</v>
      </c>
      <c r="E5" s="419"/>
      <c r="F5" s="419"/>
      <c r="G5" s="419"/>
      <c r="H5" s="419"/>
      <c r="I5" s="400"/>
    </row>
    <row r="6" spans="1:10" s="401" customFormat="1" ht="17.25" customHeight="1">
      <c r="B6" s="402"/>
      <c r="C6" s="569" t="s">
        <v>365</v>
      </c>
      <c r="D6" s="569"/>
      <c r="E6" s="572" t="s">
        <v>96</v>
      </c>
      <c r="F6" s="572"/>
      <c r="H6" s="402"/>
      <c r="I6" s="400"/>
    </row>
    <row r="7" spans="1:10" s="405" customFormat="1" ht="9.75" customHeight="1">
      <c r="A7" s="403"/>
      <c r="B7" s="403"/>
      <c r="C7" s="403"/>
      <c r="D7" s="403"/>
      <c r="E7" s="403"/>
      <c r="F7" s="403"/>
      <c r="G7" s="403"/>
      <c r="H7" s="403"/>
      <c r="I7" s="404"/>
    </row>
    <row r="8" spans="1:10" s="407" customFormat="1" ht="17.25" customHeight="1">
      <c r="A8" s="570" t="s">
        <v>366</v>
      </c>
      <c r="B8" s="571" t="s">
        <v>367</v>
      </c>
      <c r="C8" s="571" t="s">
        <v>368</v>
      </c>
      <c r="D8" s="571"/>
      <c r="E8" s="571"/>
      <c r="F8" s="571"/>
      <c r="G8" s="571"/>
      <c r="H8" s="571"/>
      <c r="I8" s="406"/>
    </row>
    <row r="9" spans="1:10" s="410" customFormat="1" ht="28.5">
      <c r="A9" s="570"/>
      <c r="B9" s="571"/>
      <c r="C9" s="408" t="s">
        <v>369</v>
      </c>
      <c r="D9" s="408" t="s">
        <v>370</v>
      </c>
      <c r="E9" s="408" t="s">
        <v>371</v>
      </c>
      <c r="F9" s="408" t="s">
        <v>372</v>
      </c>
      <c r="G9" s="408" t="s">
        <v>373</v>
      </c>
      <c r="H9" s="408" t="s">
        <v>374</v>
      </c>
      <c r="I9" s="409"/>
    </row>
    <row r="10" spans="1:10" s="413" customFormat="1" ht="15">
      <c r="A10" s="411" t="s">
        <v>13</v>
      </c>
      <c r="B10" s="412">
        <v>1</v>
      </c>
      <c r="C10" s="412">
        <v>2</v>
      </c>
      <c r="D10" s="412">
        <v>3</v>
      </c>
      <c r="E10" s="412">
        <v>4</v>
      </c>
      <c r="F10" s="412">
        <v>5</v>
      </c>
      <c r="G10" s="412">
        <v>6</v>
      </c>
      <c r="H10" s="412">
        <v>7</v>
      </c>
      <c r="I10" s="394"/>
    </row>
    <row r="11" spans="1:10" s="401" customFormat="1" ht="15">
      <c r="A11" s="414" t="s">
        <v>375</v>
      </c>
      <c r="B11" s="415">
        <f>ROUND(SUM(C11:H11),0)</f>
        <v>0</v>
      </c>
      <c r="C11" s="415">
        <v>0</v>
      </c>
      <c r="D11" s="415">
        <v>0</v>
      </c>
      <c r="E11" s="415">
        <v>0</v>
      </c>
      <c r="F11" s="415">
        <v>0</v>
      </c>
      <c r="G11" s="415">
        <v>0</v>
      </c>
      <c r="H11" s="415">
        <v>0</v>
      </c>
      <c r="I11" s="400"/>
    </row>
    <row r="12" spans="1:10" s="401" customFormat="1" ht="15">
      <c r="A12" s="414" t="s">
        <v>376</v>
      </c>
      <c r="B12" s="415">
        <f ca="1">ROUND(SUM(C12:H12),0)</f>
        <v>382995932</v>
      </c>
      <c r="C12" s="415">
        <f ca="1">IF(ISNA(VLOOKUP($E6,INDIRECT("DSSP"&amp;$J$2),6,0)),0,VLOOKUP($E6,INDIRECT("DSSP"&amp;$J$2),6,0))</f>
        <v>352800000</v>
      </c>
      <c r="D12" s="415">
        <f ca="1">IF(ISNA(VLOOKUP($E6,INDIRECT("DSSP"&amp;$J$2),7,0)),0,VLOOKUP($E6,INDIRECT("DSSP"&amp;$J$2),7,0))</f>
        <v>4013090.542266598</v>
      </c>
      <c r="E12" s="415">
        <f ca="1">IF(ISNA(VLOOKUP($E6,INDIRECT("DSSP"&amp;$J$2),8,0)),0,VLOOKUP($E6,INDIRECT("DSSP"&amp;$J$2),8,0))</f>
        <v>9015460.0527704488</v>
      </c>
      <c r="F12" s="415">
        <f ca="1">IF(ISNA(VLOOKUP($E6,INDIRECT("DSSP"&amp;$J$2),9,0)),0,VLOOKUP($E6,INDIRECT("DSSP"&amp;$J$2),9,0))</f>
        <v>4473882.1108179418</v>
      </c>
      <c r="G12" s="415">
        <f ca="1">IF(ISNA(VLOOKUP($E6,INDIRECT("DSSP"&amp;$J$2),10,0)),0,VLOOKUP($E6,INDIRECT("DSSP"&amp;$J$2),10,0))</f>
        <v>9493498.9551451188</v>
      </c>
      <c r="H12" s="415">
        <f ca="1">IF(ISNA(VLOOKUP($E6,INDIRECT("DSSP"&amp;$J$2),11,0)),0,VLOOKUP($E6,INDIRECT("DSSP"&amp;$J$2),11,0))</f>
        <v>3200000</v>
      </c>
      <c r="I12" s="400"/>
    </row>
    <row r="13" spans="1:10" s="401" customFormat="1" ht="15">
      <c r="A13" s="414" t="s">
        <v>377</v>
      </c>
      <c r="B13" s="415">
        <f ca="1">IF(ISNA(VLOOKUP($E6,INDIRECT("DSSP"&amp;$J$2),13,0)),0,VLOOKUP($E6,INDIRECT("DSSP"&amp;$J$2),13,0))</f>
        <v>382995932</v>
      </c>
      <c r="C13" s="415">
        <f t="shared" ref="C13:H13" ca="1" si="0">C12</f>
        <v>352800000</v>
      </c>
      <c r="D13" s="415">
        <f t="shared" ca="1" si="0"/>
        <v>4013090.542266598</v>
      </c>
      <c r="E13" s="415">
        <f t="shared" ca="1" si="0"/>
        <v>9015460.0527704488</v>
      </c>
      <c r="F13" s="415">
        <f t="shared" ca="1" si="0"/>
        <v>4473882.1108179418</v>
      </c>
      <c r="G13" s="415">
        <f t="shared" ca="1" si="0"/>
        <v>9493498.9551451188</v>
      </c>
      <c r="H13" s="415">
        <f t="shared" ca="1" si="0"/>
        <v>3200000</v>
      </c>
      <c r="I13" s="400"/>
    </row>
    <row r="14" spans="1:10" s="401" customFormat="1" ht="15">
      <c r="A14" s="414" t="s">
        <v>378</v>
      </c>
      <c r="B14" s="415">
        <f ca="1">B12-B13</f>
        <v>0</v>
      </c>
      <c r="C14" s="415">
        <f t="shared" ref="C14:H14" ca="1" si="1">C12-C13</f>
        <v>0</v>
      </c>
      <c r="D14" s="415">
        <f t="shared" ca="1" si="1"/>
        <v>0</v>
      </c>
      <c r="E14" s="415">
        <f t="shared" ca="1" si="1"/>
        <v>0</v>
      </c>
      <c r="F14" s="415">
        <f t="shared" ca="1" si="1"/>
        <v>0</v>
      </c>
      <c r="G14" s="415">
        <f t="shared" ca="1" si="1"/>
        <v>0</v>
      </c>
      <c r="H14" s="415">
        <f t="shared" ca="1" si="1"/>
        <v>0</v>
      </c>
      <c r="I14" s="400"/>
    </row>
    <row r="15" spans="1:10" s="401" customFormat="1" ht="15">
      <c r="B15" s="400"/>
      <c r="C15" s="400"/>
      <c r="D15" s="400"/>
      <c r="E15" s="400"/>
      <c r="F15" s="400"/>
      <c r="G15" s="400"/>
      <c r="H15" s="400"/>
      <c r="I15" s="400"/>
    </row>
    <row r="16" spans="1:10" s="401" customFormat="1" ht="15">
      <c r="B16" s="400"/>
      <c r="C16" s="400"/>
      <c r="D16" s="400"/>
      <c r="E16" s="565" t="str">
        <f xml:space="preserve"> IF(OR($J$2=1,$J$2=4,$J$2=6,$J$2=9,$J$2=11),"Ngày  30  tháng  "&amp;$J$2&amp;"  năm 2015",IF(OR($J$2=3,$J$2=5,$J$2=7,$J$2=8,$J$2=10,$J$2=12),"Ngày  31  tháng  "&amp;$J$2&amp;"  năm 2015","Ngày  29  tháng  "&amp;$J$2&amp;"  năm 2015"))</f>
        <v>Ngày  30  tháng  6  năm 2015</v>
      </c>
      <c r="F16" s="565"/>
      <c r="G16" s="565"/>
      <c r="H16" s="565"/>
      <c r="I16" s="400"/>
    </row>
    <row r="17" spans="1:9" s="401" customFormat="1" ht="15">
      <c r="A17" s="416" t="s">
        <v>379</v>
      </c>
      <c r="B17" s="400"/>
      <c r="C17" s="400"/>
      <c r="D17" s="400"/>
      <c r="E17" s="565" t="s">
        <v>24</v>
      </c>
      <c r="F17" s="565"/>
      <c r="G17" s="565"/>
      <c r="H17" s="565"/>
      <c r="I17" s="400"/>
    </row>
    <row r="19" spans="1:9" ht="15">
      <c r="E19" s="418"/>
    </row>
  </sheetData>
  <mergeCells count="10">
    <mergeCell ref="E16:H16"/>
    <mergeCell ref="E17:H17"/>
    <mergeCell ref="F1:H1"/>
    <mergeCell ref="F2:H3"/>
    <mergeCell ref="A4:H4"/>
    <mergeCell ref="C6:D6"/>
    <mergeCell ref="A8:A9"/>
    <mergeCell ref="B8:B9"/>
    <mergeCell ref="C8:H8"/>
    <mergeCell ref="E6:F6"/>
  </mergeCells>
  <dataValidations count="2">
    <dataValidation type="list" allowBlank="1" showInputMessage="1" showErrorMessage="1" sqref="E6">
      <formula1>INDIRECT("DSGT"&amp;$J$2)</formula1>
    </dataValidation>
    <dataValidation type="list" allowBlank="1" showInputMessage="1" showErrorMessage="1" sqref="J2">
      <formula1>"1,2,3,4,5,6,7,8,9,10,11,12"</formula1>
    </dataValidation>
  </dataValidations>
  <pageMargins left="0.51" right="0.16" top="0.51" bottom="0.15" header="0.14000000000000001" footer="0.15"/>
  <pageSetup scale="9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42</vt:i4>
      </vt:variant>
    </vt:vector>
  </HeadingPairs>
  <TitlesOfParts>
    <vt:vector size="50" baseType="lpstr">
      <vt:lpstr>NXT</vt:lpstr>
      <vt:lpstr>IN-NX</vt:lpstr>
      <vt:lpstr>TH</vt:lpstr>
      <vt:lpstr>SO CT</vt:lpstr>
      <vt:lpstr>THE KHO</vt:lpstr>
      <vt:lpstr>BANG KE NL</vt:lpstr>
      <vt:lpstr>BTGT</vt:lpstr>
      <vt:lpstr>THEGT</vt:lpstr>
      <vt:lpstr>_NXT1</vt:lpstr>
      <vt:lpstr>DS</vt:lpstr>
      <vt:lpstr>DSGT1</vt:lpstr>
      <vt:lpstr>DSGT10</vt:lpstr>
      <vt:lpstr>DSGT11</vt:lpstr>
      <vt:lpstr>DSGT12</vt:lpstr>
      <vt:lpstr>DSGT2</vt:lpstr>
      <vt:lpstr>DSGT3</vt:lpstr>
      <vt:lpstr>DSGT4</vt:lpstr>
      <vt:lpstr>DSGT5</vt:lpstr>
      <vt:lpstr>DSGT6</vt:lpstr>
      <vt:lpstr>DSGT7</vt:lpstr>
      <vt:lpstr>DSGT8</vt:lpstr>
      <vt:lpstr>DSGT9</vt:lpstr>
      <vt:lpstr>DSNL</vt:lpstr>
      <vt:lpstr>DSNX1</vt:lpstr>
      <vt:lpstr>DSNX2</vt:lpstr>
      <vt:lpstr>DSNX3</vt:lpstr>
      <vt:lpstr>DSNX4</vt:lpstr>
      <vt:lpstr>DSNX5</vt:lpstr>
      <vt:lpstr>DSNX6</vt:lpstr>
      <vt:lpstr>DSNX7</vt:lpstr>
      <vt:lpstr>DSNX8</vt:lpstr>
      <vt:lpstr>DSNXT1</vt:lpstr>
      <vt:lpstr>DSSP1</vt:lpstr>
      <vt:lpstr>DSSP10</vt:lpstr>
      <vt:lpstr>DSSP11</vt:lpstr>
      <vt:lpstr>DSSP12</vt:lpstr>
      <vt:lpstr>DSSP2</vt:lpstr>
      <vt:lpstr>DSSP3</vt:lpstr>
      <vt:lpstr>DSSP4</vt:lpstr>
      <vt:lpstr>DSSP5</vt:lpstr>
      <vt:lpstr>DSSP6</vt:lpstr>
      <vt:lpstr>DSSP7</vt:lpstr>
      <vt:lpstr>DSSP8</vt:lpstr>
      <vt:lpstr>DSSP9</vt:lpstr>
      <vt:lpstr>NXT</vt:lpstr>
      <vt:lpstr>'BANG KE NL'!Print_Area</vt:lpstr>
      <vt:lpstr>'IN-NX'!Print_Area</vt:lpstr>
      <vt:lpstr>'SO CT'!Print_Area</vt:lpstr>
      <vt:lpstr>'THE KHO'!Print_Area</vt:lpstr>
      <vt:lpstr>'BANG KE NL'!Print_Titles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2016-01-30T07:26:52Z</cp:lastPrinted>
  <dcterms:created xsi:type="dcterms:W3CDTF">1996-10-14T23:33:28Z</dcterms:created>
  <dcterms:modified xsi:type="dcterms:W3CDTF">2016-01-30T07:30:21Z</dcterms:modified>
</cp:coreProperties>
</file>